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\OneDrive\Escritorio\nuevos formularios 2023\Contabilidad\"/>
    </mc:Choice>
  </mc:AlternateContent>
  <bookViews>
    <workbookView xWindow="0" yWindow="0" windowWidth="20460" windowHeight="7620" tabRatio="938" activeTab="1"/>
  </bookViews>
  <sheets>
    <sheet name="Bal Comprobacion Abril" sheetId="38" r:id="rId1"/>
    <sheet name="ESF.SNS" sheetId="36" r:id="rId2"/>
    <sheet name="ERF SRS" sheetId="19" r:id="rId3"/>
    <sheet name="Efectivo" sheetId="8" r:id="rId4"/>
    <sheet name="Inventario" sheetId="10" r:id="rId5"/>
    <sheet name="Cuenta por Cobrar a largo plazo" sheetId="41" r:id="rId6"/>
    <sheet name="Cuenta por Cobrar" sheetId="9" r:id="rId7"/>
    <sheet name="CXP Corto plazo" sheetId="12" r:id="rId8"/>
    <sheet name="Retenciones y Acum." sheetId="7" r:id="rId9"/>
    <sheet name="CXP Largo Plazo" sheetId="22" r:id="rId10"/>
    <sheet name="Ingresos" sheetId="16" r:id="rId11"/>
    <sheet name="Benef. Empl x p Corto Plazo" sheetId="14" r:id="rId12"/>
    <sheet name="Total Gasto" sheetId="23" r:id="rId13"/>
    <sheet name="Benef. Empl x pagar Larg. Plaz" sheetId="27" r:id="rId14"/>
    <sheet name="Hoja1" sheetId="33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0">'Bal Comprobacion Abril'!$A$1:$C$184</definedName>
    <definedName name="_xlnm.Print_Area" localSheetId="1">ESF.SNS!$C$1:$X$56</definedName>
    <definedName name="_xlnm.Print_Titles" localSheetId="1">ESF.SNS!$1:$4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0" l="1"/>
  <c r="B14" i="10"/>
  <c r="B15" i="10"/>
  <c r="C56" i="38" l="1"/>
  <c r="C38" i="38"/>
  <c r="C33" i="38"/>
  <c r="C31" i="38"/>
  <c r="C30" i="38"/>
  <c r="B23" i="23"/>
  <c r="B174" i="38" l="1"/>
  <c r="C180" i="38"/>
  <c r="C125" i="38"/>
  <c r="C115" i="38"/>
  <c r="C110" i="38"/>
  <c r="C109" i="38"/>
  <c r="C86" i="38"/>
  <c r="C60" i="38"/>
  <c r="C111" i="38" l="1"/>
  <c r="C101" i="38"/>
  <c r="C28" i="38"/>
  <c r="F16" i="19"/>
  <c r="F14" i="19"/>
  <c r="F13" i="19"/>
  <c r="F10" i="19"/>
  <c r="F12" i="19"/>
  <c r="F15" i="19"/>
  <c r="C5" i="19"/>
  <c r="C9" i="36"/>
  <c r="A8" i="23" l="1"/>
  <c r="A7" i="14"/>
  <c r="A6" i="16"/>
  <c r="A7" i="22"/>
  <c r="A6" i="7" l="1"/>
  <c r="A6" i="12" l="1"/>
  <c r="A6" i="9"/>
  <c r="A8" i="10" l="1"/>
  <c r="B13" i="10"/>
  <c r="F26" i="19" l="1"/>
  <c r="F23" i="19"/>
  <c r="B43" i="23"/>
  <c r="B31" i="23"/>
  <c r="F25" i="19" s="1"/>
  <c r="F24" i="19"/>
  <c r="W23" i="36"/>
  <c r="B19" i="41"/>
  <c r="F19" i="19"/>
  <c r="C66" i="38"/>
  <c r="C155" i="38"/>
  <c r="C151" i="38"/>
  <c r="C103" i="38"/>
  <c r="W24" i="36" l="1"/>
  <c r="C23" i="8" l="1"/>
  <c r="B15" i="38" s="1"/>
  <c r="W17" i="36" l="1"/>
  <c r="B181" i="38"/>
  <c r="B18" i="10"/>
  <c r="W19" i="36" s="1"/>
  <c r="C159" i="38"/>
  <c r="C156" i="38"/>
  <c r="V47" i="36"/>
  <c r="U47" i="36"/>
  <c r="T47" i="36"/>
  <c r="S47" i="36"/>
  <c r="R47" i="36"/>
  <c r="Q47" i="36"/>
  <c r="P47" i="36"/>
  <c r="O47" i="36"/>
  <c r="G42" i="36"/>
  <c r="G47" i="36" s="1"/>
  <c r="F42" i="36"/>
  <c r="F47" i="36" s="1"/>
  <c r="T38" i="36"/>
  <c r="S38" i="36"/>
  <c r="R38" i="36"/>
  <c r="Q38" i="36"/>
  <c r="I38" i="36"/>
  <c r="V37" i="36"/>
  <c r="V38" i="36" s="1"/>
  <c r="U37" i="36"/>
  <c r="U38" i="36" s="1"/>
  <c r="P37" i="36"/>
  <c r="P38" i="36" s="1"/>
  <c r="O37" i="36"/>
  <c r="O38" i="36" s="1"/>
  <c r="N37" i="36"/>
  <c r="N38" i="36" s="1"/>
  <c r="M37" i="36"/>
  <c r="M38" i="36" s="1"/>
  <c r="L37" i="36"/>
  <c r="L38" i="36" s="1"/>
  <c r="K37" i="36"/>
  <c r="K38" i="36" s="1"/>
  <c r="J37" i="36"/>
  <c r="J38" i="36" s="1"/>
  <c r="H37" i="36"/>
  <c r="H38" i="36" s="1"/>
  <c r="G37" i="36"/>
  <c r="G38" i="36" s="1"/>
  <c r="F37" i="36"/>
  <c r="F38" i="36" s="1"/>
  <c r="V32" i="36"/>
  <c r="U32" i="36"/>
  <c r="T32" i="36"/>
  <c r="S32" i="36"/>
  <c r="R32" i="36"/>
  <c r="Q32" i="36"/>
  <c r="P32" i="36"/>
  <c r="O32" i="36"/>
  <c r="N32" i="36"/>
  <c r="M32" i="36"/>
  <c r="L32" i="36"/>
  <c r="K32" i="36"/>
  <c r="J32" i="36"/>
  <c r="I32" i="36"/>
  <c r="H32" i="36"/>
  <c r="G32" i="36"/>
  <c r="F32" i="36"/>
  <c r="V31" i="36"/>
  <c r="U31" i="36"/>
  <c r="T31" i="36"/>
  <c r="S31" i="36"/>
  <c r="R31" i="36"/>
  <c r="Q31" i="36"/>
  <c r="P31" i="36"/>
  <c r="O31" i="36"/>
  <c r="V30" i="36"/>
  <c r="U30" i="36"/>
  <c r="T30" i="36"/>
  <c r="S30" i="36"/>
  <c r="R30" i="36"/>
  <c r="Q30" i="36"/>
  <c r="P30" i="36"/>
  <c r="O30" i="36"/>
  <c r="N30" i="36"/>
  <c r="M30" i="36"/>
  <c r="L30" i="36"/>
  <c r="K30" i="36"/>
  <c r="J30" i="36"/>
  <c r="I30" i="36"/>
  <c r="H30" i="36"/>
  <c r="G30" i="36"/>
  <c r="F30" i="36"/>
  <c r="T24" i="36"/>
  <c r="S24" i="36"/>
  <c r="R24" i="36"/>
  <c r="Q24" i="36"/>
  <c r="P24" i="36"/>
  <c r="O24" i="36"/>
  <c r="N24" i="36"/>
  <c r="M24" i="36"/>
  <c r="L24" i="36"/>
  <c r="K24" i="36"/>
  <c r="J24" i="36"/>
  <c r="I24" i="36"/>
  <c r="H24" i="36"/>
  <c r="G24" i="36"/>
  <c r="F24" i="36"/>
  <c r="V23" i="36"/>
  <c r="V24" i="36" s="1"/>
  <c r="U23" i="36"/>
  <c r="U24" i="36" s="1"/>
  <c r="V19" i="36"/>
  <c r="U19" i="36"/>
  <c r="T19" i="36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V18" i="36"/>
  <c r="U18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V17" i="36"/>
  <c r="U17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C6" i="36"/>
  <c r="M34" i="36" l="1"/>
  <c r="M39" i="36" s="1"/>
  <c r="M49" i="36" s="1"/>
  <c r="F20" i="36"/>
  <c r="J20" i="36"/>
  <c r="J26" i="36" s="1"/>
  <c r="N20" i="36"/>
  <c r="N26" i="36" s="1"/>
  <c r="R20" i="36"/>
  <c r="R26" i="36" s="1"/>
  <c r="V20" i="36"/>
  <c r="V26" i="36" s="1"/>
  <c r="I34" i="36"/>
  <c r="I39" i="36" s="1"/>
  <c r="I49" i="36" s="1"/>
  <c r="F34" i="36"/>
  <c r="F39" i="36" s="1"/>
  <c r="F49" i="36" s="1"/>
  <c r="J34" i="36"/>
  <c r="J39" i="36" s="1"/>
  <c r="J49" i="36" s="1"/>
  <c r="R34" i="36"/>
  <c r="R49" i="36" s="1"/>
  <c r="V34" i="36"/>
  <c r="V49" i="36" s="1"/>
  <c r="G34" i="36"/>
  <c r="G39" i="36" s="1"/>
  <c r="G49" i="36" s="1"/>
  <c r="K34" i="36"/>
  <c r="K39" i="36" s="1"/>
  <c r="K49" i="36" s="1"/>
  <c r="P34" i="36"/>
  <c r="P49" i="36" s="1"/>
  <c r="T34" i="36"/>
  <c r="T39" i="36" s="1"/>
  <c r="Q34" i="36"/>
  <c r="Q39" i="36" s="1"/>
  <c r="U34" i="36"/>
  <c r="U39" i="36" s="1"/>
  <c r="H20" i="36"/>
  <c r="H26" i="36" s="1"/>
  <c r="L20" i="36"/>
  <c r="L26" i="36" s="1"/>
  <c r="C181" i="38"/>
  <c r="C182" i="38" s="1"/>
  <c r="P20" i="36"/>
  <c r="P26" i="36" s="1"/>
  <c r="T20" i="36"/>
  <c r="O34" i="36"/>
  <c r="O39" i="36" s="1"/>
  <c r="O49" i="36" s="1"/>
  <c r="S34" i="36"/>
  <c r="S49" i="36" s="1"/>
  <c r="N34" i="36"/>
  <c r="N39" i="36" s="1"/>
  <c r="N49" i="36" s="1"/>
  <c r="I20" i="36"/>
  <c r="I26" i="36" s="1"/>
  <c r="M20" i="36"/>
  <c r="M26" i="36" s="1"/>
  <c r="Q20" i="36"/>
  <c r="Q26" i="36" s="1"/>
  <c r="U20" i="36"/>
  <c r="U26" i="36" s="1"/>
  <c r="T26" i="36"/>
  <c r="H34" i="36"/>
  <c r="H39" i="36" s="1"/>
  <c r="H49" i="36" s="1"/>
  <c r="L34" i="36"/>
  <c r="L39" i="36" s="1"/>
  <c r="L49" i="36" s="1"/>
  <c r="G20" i="36"/>
  <c r="G26" i="36" s="1"/>
  <c r="K20" i="36"/>
  <c r="K26" i="36" s="1"/>
  <c r="O20" i="36"/>
  <c r="O26" i="36" s="1"/>
  <c r="S20" i="36"/>
  <c r="S26" i="36" s="1"/>
  <c r="F26" i="36"/>
  <c r="V39" i="36" l="1"/>
  <c r="Q49" i="36"/>
  <c r="Q51" i="36" s="1"/>
  <c r="S39" i="36"/>
  <c r="R51" i="36"/>
  <c r="T49" i="36"/>
  <c r="T51" i="36" s="1"/>
  <c r="P39" i="36"/>
  <c r="R39" i="36"/>
  <c r="S51" i="36"/>
  <c r="P51" i="36"/>
  <c r="U49" i="36"/>
  <c r="U51" i="36" s="1"/>
  <c r="O51" i="36"/>
  <c r="V51" i="36"/>
  <c r="B19" i="16" l="1"/>
  <c r="B15" i="23"/>
  <c r="F22" i="19" l="1"/>
  <c r="B45" i="23"/>
  <c r="W33" i="36" s="1"/>
  <c r="B16" i="14" l="1"/>
  <c r="W32" i="36" s="1"/>
  <c r="B19" i="9" l="1"/>
  <c r="W18" i="36" l="1"/>
  <c r="W20" i="36" s="1"/>
  <c r="W26" i="36" s="1"/>
  <c r="B13" i="12"/>
  <c r="W30" i="36" s="1"/>
  <c r="B13" i="16" l="1"/>
  <c r="B20" i="16" s="1"/>
  <c r="B13" i="27"/>
  <c r="B16" i="7"/>
  <c r="W31" i="36" s="1"/>
  <c r="W34" i="36" s="1"/>
  <c r="W39" i="36" s="1"/>
  <c r="B15" i="22" l="1"/>
  <c r="W37" i="36" s="1"/>
  <c r="H26" i="19" l="1"/>
  <c r="H27" i="19" s="1"/>
  <c r="F27" i="19"/>
  <c r="H19" i="19"/>
  <c r="H8" i="19"/>
  <c r="H33" i="19" l="1"/>
  <c r="F33" i="19" l="1"/>
  <c r="W44" i="36" s="1"/>
  <c r="W47" i="36" l="1"/>
  <c r="W49" i="36" s="1"/>
  <c r="W51" i="36" s="1"/>
</calcChain>
</file>

<file path=xl/sharedStrings.xml><?xml version="1.0" encoding="utf-8"?>
<sst xmlns="http://schemas.openxmlformats.org/spreadsheetml/2006/main" count="492" uniqueCount="381">
  <si>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</si>
  <si>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</si>
  <si>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</si>
  <si>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</si>
  <si>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</si>
  <si>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</si>
  <si>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</si>
  <si>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</si>
  <si>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</si>
  <si>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</si>
  <si>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</si>
  <si>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</si>
  <si>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</si>
  <si>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</si>
  <si>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</si>
  <si>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</si>
  <si>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</si>
  <si>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Gastos financieros</t>
  </si>
  <si>
    <t xml:space="preserve">Participación en resultado de asociadas </t>
  </si>
  <si>
    <t>Total ingresos</t>
  </si>
  <si>
    <t>Total gastos</t>
  </si>
  <si>
    <t>Ganancia (pérdida) por diferencia cambiaria</t>
  </si>
  <si>
    <t>0001</t>
  </si>
  <si>
    <t>0004</t>
  </si>
  <si>
    <t>0005</t>
  </si>
  <si>
    <t>0009</t>
  </si>
  <si>
    <t>0016</t>
  </si>
  <si>
    <t>0019</t>
  </si>
  <si>
    <t>0021</t>
  </si>
  <si>
    <t>0024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</si>
  <si>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</si>
  <si>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</si>
  <si>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</si>
  <si>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</si>
  <si>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</si>
  <si>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</si>
  <si>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</si>
  <si>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</si>
  <si>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</si>
  <si>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</si>
  <si>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</si>
  <si>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</si>
  <si>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0044</t>
  </si>
  <si>
    <t>0045</t>
  </si>
  <si>
    <t>0046</t>
  </si>
  <si>
    <t>0047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</si>
  <si>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</si>
  <si>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</si>
  <si>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</si>
  <si>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</si>
  <si>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</si>
  <si>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Total</t>
  </si>
  <si>
    <t>Nombre de cuenta</t>
  </si>
  <si>
    <t>Caja Chica</t>
  </si>
  <si>
    <t>Venta de Servicios</t>
  </si>
  <si>
    <t>Anticipos Financieros</t>
  </si>
  <si>
    <t>Detalle</t>
  </si>
  <si>
    <t>Otras  Cuentas Por Cobrar (Retencion IR-3)</t>
  </si>
  <si>
    <t>Total Cuentas Por Cobrar</t>
  </si>
  <si>
    <t xml:space="preserve">Cuentas por Cobrar Ventas de Servicios </t>
  </si>
  <si>
    <t>Descripción</t>
  </si>
  <si>
    <t>Total Inventario</t>
  </si>
  <si>
    <t>Ingresos con Contraprestacion de Servicios</t>
  </si>
  <si>
    <t>Otros Ingresos</t>
  </si>
  <si>
    <t>Ingresos sin  Contraprestacion de Servicios</t>
  </si>
  <si>
    <t>Sub-Total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</si>
  <si>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</si>
  <si>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</si>
  <si>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</si>
  <si>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</si>
  <si>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</si>
  <si>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</si>
  <si>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Proporción de vacaciones no disfrutadas</t>
  </si>
  <si>
    <t>Incentivos y escalafón</t>
  </si>
  <si>
    <t>Prestación laboral por desvinculación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</si>
  <si>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</si>
  <si>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</si>
  <si>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</si>
  <si>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</si>
  <si>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</si>
  <si>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</si>
  <si>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</si>
  <si>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</si>
  <si>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</si>
  <si>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</si>
  <si>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al seguro de salud</t>
  </si>
  <si>
    <t xml:space="preserve">Contribuciones al seguro de pensiones </t>
  </si>
  <si>
    <t>Contribuciones al seguro de riesgo laboral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</si>
  <si>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</si>
  <si>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</si>
  <si>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</si>
  <si>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</si>
  <si>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</si>
  <si>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</si>
  <si>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 y propaganda</t>
  </si>
  <si>
    <t>Impresión y encuadernación</t>
  </si>
  <si>
    <t>Viáticos dentro del país</t>
  </si>
  <si>
    <t>Viáticos fuera del país</t>
  </si>
  <si>
    <t>Pasajes</t>
  </si>
  <si>
    <t>Peajes</t>
  </si>
  <si>
    <t>Almacenaje</t>
  </si>
  <si>
    <t>Fletes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</si>
  <si>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</si>
  <si>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</si>
  <si>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</si>
  <si>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</si>
  <si>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</si>
  <si>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 de bienes muebles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</si>
  <si>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</si>
  <si>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</si>
  <si>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</si>
  <si>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</si>
  <si>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</si>
  <si>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</si>
  <si>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</si>
  <si>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</si>
  <si>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</si>
  <si>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</si>
  <si>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</si>
  <si>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</si>
  <si>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</si>
  <si>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</si>
  <si>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</si>
  <si>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</si>
  <si>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</si>
  <si>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</si>
  <si>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t>Recolección de residuos sólidos</t>
  </si>
  <si>
    <t>Servicios de informática y sistemas computarizados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</si>
  <si>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</si>
  <si>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</si>
  <si>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</si>
  <si>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</si>
  <si>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</si>
  <si>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</si>
  <si>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</si>
  <si>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Papel de escritorio</t>
  </si>
  <si>
    <t>Productos de papel y cartón</t>
  </si>
  <si>
    <t>Productos de artes gráficas</t>
  </si>
  <si>
    <t>Productos medicinales para uso humano</t>
  </si>
  <si>
    <t>Artículos de cuero</t>
  </si>
  <si>
    <t>Libros, revistas y periódicos</t>
  </si>
  <si>
    <t>Llantas y neumáticos</t>
  </si>
  <si>
    <t>Artículos de caucho</t>
  </si>
  <si>
    <t>Artículos de plástico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</si>
  <si>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</si>
  <si>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</si>
  <si>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</si>
  <si>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</si>
  <si>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</si>
  <si>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</si>
  <si>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</si>
  <si>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</si>
  <si>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</si>
  <si>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</si>
  <si>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Gas GLP</t>
  </si>
  <si>
    <t>Gasolina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</si>
  <si>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</si>
  <si>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</si>
  <si>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</si>
  <si>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</si>
  <si>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</si>
  <si>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>Material para limpieza</t>
  </si>
  <si>
    <t>Útiles de escritorio, oficina e informática </t>
  </si>
  <si>
    <t>Utiles menores médico quirurgicos y de laboratorio</t>
  </si>
  <si>
    <t>Productos eléctricos y afines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</si>
  <si>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</si>
  <si>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</si>
  <si>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</si>
  <si>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</si>
  <si>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</si>
  <si>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</si>
  <si>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</si>
  <si>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</si>
  <si>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</si>
  <si>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</si>
  <si>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</si>
  <si>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Gasto de depreciación</t>
  </si>
  <si>
    <t>Gasto de amortización</t>
  </si>
  <si>
    <t>Pérdida por retiro</t>
  </si>
  <si>
    <t>Comisiones y gastos bancarios</t>
  </si>
  <si>
    <t>Anticipo Financieros</t>
  </si>
  <si>
    <t>Anticipos financieros</t>
  </si>
  <si>
    <t xml:space="preserve">Inventario de  Material Med. Quirurjicos. </t>
  </si>
  <si>
    <t>Inventario Medicamentos</t>
  </si>
  <si>
    <t>Inventario de Útiles  y Suministro  de Oficina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</si>
  <si>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</si>
  <si>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</si>
  <si>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</si>
  <si>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</si>
  <si>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</si>
  <si>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</si>
  <si>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</si>
  <si>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</si>
  <si>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</si>
  <si>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</si>
  <si>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Resultado del período</t>
  </si>
  <si>
    <t>Monto</t>
  </si>
  <si>
    <t>Sueldos para Cargos Fijos</t>
  </si>
  <si>
    <t>Sueldos Personal Temporero</t>
  </si>
  <si>
    <t>Dietas y Gastos de Representacion</t>
  </si>
  <si>
    <t>Prestaciones y Bonificaciones</t>
  </si>
  <si>
    <t>Servicios de Comunicaciones</t>
  </si>
  <si>
    <t>Publicidad, Impresiones y Encuadernaciones</t>
  </si>
  <si>
    <t>Viaticos Dentro y Fuera del Pais</t>
  </si>
  <si>
    <t>Transporte y Almacenaje</t>
  </si>
  <si>
    <t>Alquileres</t>
  </si>
  <si>
    <t>Conservacion, Reparaciones Menores y Construcciones Temporales</t>
  </si>
  <si>
    <t>Productos de Papel, Carton e Impresos</t>
  </si>
  <si>
    <t>Combustibles, Lubricantes, Productos Auimicos y Conexos</t>
  </si>
  <si>
    <t>Productos de Minerales Metalicos y no Metalicos</t>
  </si>
  <si>
    <t>Productos y Utiles Varios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</si>
  <si>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</si>
  <si>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</si>
  <si>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</si>
  <si>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</si>
  <si>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</si>
  <si>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</si>
  <si>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Gastos Financieros</t>
  </si>
  <si>
    <t># Cta.</t>
  </si>
  <si>
    <t>Total balance cuentas de bancarias del Reservas</t>
  </si>
  <si>
    <t>Cuenta por cobrar a corto plazo (Notas 8)</t>
  </si>
  <si>
    <t>Inventarios (Nota 9)</t>
  </si>
  <si>
    <t>Notas # 8: Cuenta Por Cobrar</t>
  </si>
  <si>
    <t>Cuentas por pagar a corto plazo (Nota 11)</t>
  </si>
  <si>
    <t>Retenciones y acumulaciones por pagar (Nota 12)</t>
  </si>
  <si>
    <t>Beneficios a empleados a corto plazo (Nota 13)</t>
  </si>
  <si>
    <t>Cuentas por Pagar Suplidores</t>
  </si>
  <si>
    <t>Cuentas por pagar a largo plazo (Nota 14)</t>
  </si>
  <si>
    <t>Nota # 9: Inventario</t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</si>
  <si>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</si>
  <si>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</si>
  <si>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</si>
  <si>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</si>
  <si>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</si>
  <si>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</si>
  <si>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</si>
  <si>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</si>
  <si>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</si>
  <si>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</si>
  <si>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</si>
  <si>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</si>
  <si>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</si>
  <si>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</si>
  <si>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</si>
  <si>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</si>
  <si>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</si>
  <si>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 xml:space="preserve">Cuentas por Pagar   Largo Plazo  </t>
  </si>
  <si>
    <t>Comisiones Bancarias</t>
  </si>
  <si>
    <t>Depreciacion</t>
  </si>
  <si>
    <t>Regalia Pascual</t>
  </si>
  <si>
    <t>Conservaciones,Reparaciones Menores y Construcciones</t>
  </si>
  <si>
    <t>Del ejercicio terminado Al 30 de JULIO 2021</t>
  </si>
  <si>
    <t xml:space="preserve">HOSPITAL </t>
  </si>
  <si>
    <t>Honorarios Personal Subcontratado</t>
  </si>
  <si>
    <t>Oxigeno</t>
  </si>
  <si>
    <t>Medicamentos e Insumos Medicos</t>
  </si>
  <si>
    <t>Materiales de Limpieza e Higiene</t>
  </si>
  <si>
    <t>Alquiler de equipo educacional</t>
  </si>
  <si>
    <t>Mantenimiento y reparación de obras civiles en instalaciones varias</t>
  </si>
  <si>
    <t>Instalaciones eléctricas</t>
  </si>
  <si>
    <t>Festividades</t>
  </si>
  <si>
    <t>Productos de porcelana</t>
  </si>
  <si>
    <t>Obras para edificación no residencial</t>
  </si>
  <si>
    <t>Ingresos</t>
  </si>
  <si>
    <t>Caja General</t>
  </si>
  <si>
    <t>Inventario</t>
  </si>
  <si>
    <t xml:space="preserve">Hospital Materno Dra. Evangelina Rodriguez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</si>
  <si>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</si>
  <si>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</si>
  <si>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</si>
  <si>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</si>
  <si>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</si>
  <si>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</si>
  <si>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</si>
  <si>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</si>
  <si>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</si>
  <si>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</si>
  <si>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</si>
  <si>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</si>
  <si>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Documentos por cobrar a largo plazo (Nota 15)</t>
  </si>
  <si>
    <t>Venta de Servicios por ARS</t>
  </si>
  <si>
    <t>Otros Materiales No Hospitalarios</t>
  </si>
  <si>
    <t>Productos fotoquímicos</t>
  </si>
  <si>
    <t>Diferencia para control debe ser cero</t>
  </si>
  <si>
    <t>Servicio Nacional de Salud</t>
  </si>
  <si>
    <t>Hospital _Hospital Materno Dra. Evangelina Rodriguez</t>
  </si>
  <si>
    <t>Balanza de comprobación</t>
  </si>
  <si>
    <t xml:space="preserve">Cuentas </t>
  </si>
  <si>
    <t>DB</t>
  </si>
  <si>
    <t>CR</t>
  </si>
  <si>
    <t>Efectivo y Banco</t>
  </si>
  <si>
    <t>CONSILIACION BANCARIA</t>
  </si>
  <si>
    <t>Valor total de inventario de almacen a marzo</t>
  </si>
  <si>
    <t>Pagos anticipados</t>
  </si>
  <si>
    <t>Mobiliarios y equipos de oficina</t>
  </si>
  <si>
    <t>Valor total de mobiliarios según inventario de activos fijos al 30/04/2021</t>
  </si>
  <si>
    <t>Depreciación acumulada</t>
  </si>
  <si>
    <t>Cuentas por pagar a corto plazo</t>
  </si>
  <si>
    <t>Valor a pagar al Cierre de Mayo a;o 2021</t>
  </si>
  <si>
    <t>Retenciones y acumulaciones por pagar</t>
  </si>
  <si>
    <t xml:space="preserve">Beneficios a empleados a corto plazo </t>
  </si>
  <si>
    <t xml:space="preserve">Cuentas por pagar a largo plazo </t>
  </si>
  <si>
    <t>Deuda de a;os anteriores</t>
  </si>
  <si>
    <t>Beneficios a empleados a largo plazo</t>
  </si>
  <si>
    <t>Resultado acumulado</t>
  </si>
  <si>
    <t>rrhh</t>
  </si>
  <si>
    <t>Valor total de nomina interna mas completivos, y contratados</t>
  </si>
  <si>
    <t>Provision de un mes de nomina según mes abril</t>
  </si>
  <si>
    <t>Incentivo Senasa auxiliar matriz incentivo</t>
  </si>
  <si>
    <t>SOBRESUELDOS</t>
  </si>
  <si>
    <t>CONTRIBUCIONES A LA SEGURIDAD SOCIAL Y RIESGO LABORAL</t>
  </si>
  <si>
    <t>SERVICIOS NO PERSONALES</t>
  </si>
  <si>
    <t>SERVICIOS BÁSICOS</t>
  </si>
  <si>
    <t>Gastos de Telefono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</si>
  <si>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</si>
  <si>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</si>
  <si>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</si>
  <si>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</si>
  <si>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</si>
  <si>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</si>
  <si>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</si>
  <si>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Reparaciones</t>
  </si>
  <si>
    <t>Mant. y rep. De equipo de transporte, tracción y elevación</t>
  </si>
  <si>
    <t>Mantenimiento y reparación de muebles y equipos de oficina</t>
  </si>
  <si>
    <t>Mantenimiento y reparación de equipo para computación</t>
  </si>
  <si>
    <t>Equipo de telecomunicaciones y señalamiento</t>
  </si>
  <si>
    <t xml:space="preserve">OTROS SERVICIOS NO PERSONALES </t>
  </si>
  <si>
    <t>otros gastos</t>
  </si>
  <si>
    <r>
      <t>Impuestos</t>
    </r>
    <r>
      <rPr>
        <sz val="12"/>
        <color theme="1"/>
        <rFont val="Times New Roman"/>
        <family val="1"/>
      </rPr>
      <t> </t>
    </r>
  </si>
  <si>
    <t>MATERIALES Y SUMINISTROS</t>
  </si>
  <si>
    <t>ALIMENTOS Y PRODUCTOS AGROFORESTALES</t>
  </si>
  <si>
    <t>TEXTILES Y VESTUARIOS</t>
  </si>
  <si>
    <t>PRODUCTOS DE PAPEL, CARTÓN E IMPRESO</t>
  </si>
  <si>
    <t>oxigeno</t>
  </si>
  <si>
    <t>PRODUCTOS DE CUERO, CAUCHO Y PLÁSTICOS</t>
  </si>
  <si>
    <t>PRODUCTOS DE MINERALES, METÁLICOS Y NO METÁLICOS</t>
  </si>
  <si>
    <t>COMBUSTIBLES, LUBRICANTES, PRODUCTOS QUÍMICOS Y CONEXOS</t>
  </si>
  <si>
    <t>Gasoil   / GLP</t>
  </si>
  <si>
    <t>PRODUCTOS Y ÚTILES VARIOS</t>
  </si>
  <si>
    <t>Útiles menores médico quirurgicos</t>
  </si>
  <si>
    <t>Utiles de cocina y comedor</t>
  </si>
  <si>
    <t>TRANSFERENCIAS CORRIENTES</t>
  </si>
  <si>
    <t xml:space="preserve">Transferencias corrientes </t>
  </si>
  <si>
    <t>Otros Gastos</t>
  </si>
  <si>
    <t>Balance</t>
  </si>
  <si>
    <t>Unibe (Acuerdos Institucionales)</t>
  </si>
  <si>
    <t>UCE (Acuerdos Institucionales)</t>
  </si>
  <si>
    <t>Renta de Cafeteria</t>
  </si>
  <si>
    <t>Ingresos por odontologia (Senasa)</t>
  </si>
  <si>
    <t>Inventario Medicamentos Controlados</t>
  </si>
  <si>
    <t>Elaborado Por: Lic. Eileen Cisnero</t>
  </si>
  <si>
    <t>Cuentas por Cobrar Salud Segura</t>
  </si>
  <si>
    <t>Elaborado Po: Lic. Eileen Cisnero</t>
  </si>
  <si>
    <t>Incentivo Senasa</t>
  </si>
  <si>
    <t>Otros Pasivos corrientes (Nota 18, 19, 20, 21)</t>
  </si>
  <si>
    <t>Venta de servicios por ARS</t>
  </si>
  <si>
    <t>Renta Cafeteria</t>
  </si>
  <si>
    <t>odontologia Senasa</t>
  </si>
  <si>
    <t>Notas # 15: Cuenta Por Cobrar a largo plazo</t>
  </si>
  <si>
    <t>Bienes y servicios no personales</t>
  </si>
  <si>
    <t>Materiales y suministros</t>
  </si>
  <si>
    <t>Nota:</t>
  </si>
  <si>
    <t>Efectivo en caja general recibidos de la venta de servicios diaria</t>
  </si>
  <si>
    <t>Efectivo en caja chica para los gastos menores del centro de salud</t>
  </si>
  <si>
    <t xml:space="preserve">Venta de servicios por ARS recibidos de las cxc </t>
  </si>
  <si>
    <t xml:space="preserve">Ingresos por odontologia senasa del mes </t>
  </si>
  <si>
    <t>Cuenta por cobrar años 2017-2018-2019</t>
  </si>
  <si>
    <t>Cxc ventas de servicios de las ARS</t>
  </si>
  <si>
    <t>Cxp años anteriores con proveedores suspendidos de la Dgii, desactualizados en Compras y Contrataciones</t>
  </si>
  <si>
    <t xml:space="preserve">Retenciones del 10% a nomina de igualados </t>
  </si>
  <si>
    <t>Retenciones del 5% a proveedores del estado</t>
  </si>
  <si>
    <t>Ingresos recibidos por venta de servicios, caja chica y Senasa Odontologia</t>
  </si>
  <si>
    <t>Incetivo senasa periodo julio-diciembre 2022</t>
  </si>
  <si>
    <t>Gastos realizados en el mes de Enero 2022</t>
  </si>
  <si>
    <t>Del ejercicio terminado Al 28 de Febrero 2023</t>
  </si>
  <si>
    <t>Regalia Pascual Acumulada</t>
  </si>
  <si>
    <t>% de regalia pascual acumulada al mes de Febrero 2023</t>
  </si>
  <si>
    <t>Al 28 de febrero 2023</t>
  </si>
  <si>
    <t>Del ejercicio terminado Al 28 de febrero 2023</t>
  </si>
  <si>
    <t>HMDER 4.1.2.3.01 Elaboracion y analisis de estados Financieros</t>
  </si>
  <si>
    <t>HMDER 4.1.2.3.01 Elaboracion y analisis de Estados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</si>
</sst>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  <numFmt numFmtId="166" formatCode="_(* #,##0_);_(* \(#,##0\);_(* &quot;-&quot;??_);_(@_)"/>
  </numFmts>
  <fonts count="47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sz val="10"/>
      <color rgb="FF000000"/>
      <name val="Calibri"/>
      <family val="3"/>
      <charset val="134"/>
    </font>
    <font>
      <b/>
      <sz val="14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9"/>
      <color rgb="FF000000"/>
      <name val="Segoe UI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Times New Roman"/>
      <family val="1"/>
    </font>
    <font>
      <sz val="12"/>
      <color rgb="FF2121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10" fillId="0" borderId="0" xfId="0" applyFont="1"/>
    <xf numFmtId="0" fontId="4" fillId="0" borderId="0" xfId="0" applyFont="1"/>
    <xf numFmtId="0" fontId="14" fillId="0" borderId="5" xfId="0" applyFont="1" applyBorder="1"/>
    <xf numFmtId="3" fontId="14" fillId="0" borderId="5" xfId="0" applyNumberFormat="1" applyFont="1" applyBorder="1"/>
    <xf numFmtId="3" fontId="0" fillId="0" borderId="0" xfId="0" applyNumberFormat="1"/>
    <xf numFmtId="0" fontId="16" fillId="0" borderId="5" xfId="0" applyFont="1" applyBorder="1" applyAlignment="1">
      <alignment vertical="center"/>
    </xf>
    <xf numFmtId="0" fontId="18" fillId="0" borderId="0" xfId="0" applyFont="1" applyAlignment="1">
      <alignment vertical="center"/>
    </xf>
    <xf numFmtId="43" fontId="13" fillId="3" borderId="5" xfId="2" applyFont="1" applyFill="1" applyBorder="1" applyAlignment="1">
      <alignment horizontal="center"/>
    </xf>
    <xf numFmtId="43" fontId="13" fillId="0" borderId="0" xfId="2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20" fillId="0" borderId="5" xfId="0" applyFont="1" applyBorder="1"/>
    <xf numFmtId="0" fontId="3" fillId="0" borderId="0" xfId="0" applyFont="1" applyFill="1" applyAlignment="1">
      <alignment vertical="center"/>
    </xf>
    <xf numFmtId="0" fontId="12" fillId="0" borderId="5" xfId="0" applyFont="1" applyFill="1" applyBorder="1" applyAlignment="1">
      <alignment vertical="center"/>
    </xf>
    <xf numFmtId="4" fontId="0" fillId="0" borderId="0" xfId="0" applyNumberFormat="1"/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5" fillId="0" borderId="7" xfId="0" applyFont="1" applyFill="1" applyBorder="1" applyAlignment="1">
      <alignment vertical="center"/>
    </xf>
    <xf numFmtId="0" fontId="13" fillId="0" borderId="5" xfId="9" applyFont="1" applyFill="1" applyBorder="1"/>
    <xf numFmtId="0" fontId="14" fillId="0" borderId="7" xfId="0" applyFont="1" applyBorder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" fillId="0" borderId="5" xfId="0" applyFont="1" applyBorder="1" applyAlignment="1">
      <alignment horizontal="left"/>
    </xf>
    <xf numFmtId="37" fontId="0" fillId="0" borderId="0" xfId="0" applyNumberFormat="1" applyAlignment="1">
      <alignment vertical="center"/>
    </xf>
    <xf numFmtId="0" fontId="12" fillId="0" borderId="3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top"/>
    </xf>
    <xf numFmtId="0" fontId="23" fillId="0" borderId="5" xfId="0" applyFont="1" applyFill="1" applyBorder="1" applyAlignment="1">
      <alignment horizontal="left" vertical="top"/>
    </xf>
    <xf numFmtId="0" fontId="15" fillId="0" borderId="5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11" fillId="0" borderId="0" xfId="0" applyFont="1"/>
    <xf numFmtId="0" fontId="24" fillId="0" borderId="5" xfId="0" applyFont="1" applyBorder="1"/>
    <xf numFmtId="0" fontId="11" fillId="0" borderId="5" xfId="0" applyFont="1" applyBorder="1"/>
    <xf numFmtId="166" fontId="3" fillId="0" borderId="5" xfId="12" applyNumberFormat="1" applyFont="1" applyBorder="1" applyAlignment="1"/>
    <xf numFmtId="4" fontId="3" fillId="0" borderId="0" xfId="0" applyNumberFormat="1" applyFont="1"/>
    <xf numFmtId="4" fontId="3" fillId="0" borderId="0" xfId="0" applyNumberFormat="1" applyFont="1" applyBorder="1"/>
    <xf numFmtId="0" fontId="2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Border="1" applyAlignment="1"/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6" fontId="26" fillId="0" borderId="5" xfId="12" applyNumberFormat="1" applyFont="1" applyBorder="1" applyAlignment="1"/>
    <xf numFmtId="0" fontId="19" fillId="0" borderId="5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/>
    </xf>
    <xf numFmtId="0" fontId="16" fillId="0" borderId="5" xfId="0" applyFont="1" applyBorder="1" applyAlignment="1">
      <alignment horizontal="center" vertical="center"/>
    </xf>
    <xf numFmtId="0" fontId="15" fillId="0" borderId="5" xfId="0" applyFont="1" applyFill="1" applyBorder="1" applyAlignment="1">
      <alignment vertical="center"/>
    </xf>
    <xf numFmtId="3" fontId="6" fillId="0" borderId="4" xfId="0" applyNumberFormat="1" applyFont="1" applyBorder="1" applyAlignment="1">
      <alignment horizontal="right"/>
    </xf>
    <xf numFmtId="43" fontId="29" fillId="3" borderId="5" xfId="2" applyFont="1" applyFill="1" applyBorder="1" applyAlignment="1"/>
    <xf numFmtId="43" fontId="0" fillId="0" borderId="0" xfId="12" applyFont="1"/>
    <xf numFmtId="3" fontId="17" fillId="0" borderId="5" xfId="0" applyNumberFormat="1" applyFont="1" applyBorder="1" applyAlignment="1">
      <alignment horizontal="right" vertical="center"/>
    </xf>
    <xf numFmtId="43" fontId="28" fillId="0" borderId="5" xfId="12" applyFont="1" applyBorder="1" applyAlignment="1">
      <alignment horizontal="right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34" fillId="0" borderId="5" xfId="0" applyFont="1" applyFill="1" applyBorder="1" applyAlignment="1">
      <alignment horizontal="left" vertical="top"/>
    </xf>
    <xf numFmtId="4" fontId="0" fillId="0" borderId="0" xfId="0" applyNumberFormat="1" applyAlignment="1">
      <alignment horizontal="right"/>
    </xf>
    <xf numFmtId="4" fontId="1" fillId="0" borderId="5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/>
    </xf>
    <xf numFmtId="4" fontId="27" fillId="0" borderId="5" xfId="0" applyNumberFormat="1" applyFont="1" applyFill="1" applyBorder="1" applyAlignment="1">
      <alignment horizontal="right" vertical="top" wrapText="1"/>
    </xf>
    <xf numFmtId="4" fontId="0" fillId="0" borderId="5" xfId="0" applyNumberFormat="1" applyBorder="1" applyAlignment="1">
      <alignment horizontal="right"/>
    </xf>
    <xf numFmtId="4" fontId="0" fillId="0" borderId="5" xfId="12" applyNumberFormat="1" applyFont="1" applyBorder="1" applyAlignment="1">
      <alignment horizontal="right"/>
    </xf>
    <xf numFmtId="4" fontId="33" fillId="0" borderId="5" xfId="0" applyNumberFormat="1" applyFont="1" applyFill="1" applyBorder="1" applyAlignment="1">
      <alignment horizontal="right" vertical="top" wrapText="1"/>
    </xf>
    <xf numFmtId="4" fontId="13" fillId="0" borderId="0" xfId="2" applyNumberFormat="1" applyFont="1" applyFill="1" applyBorder="1" applyAlignment="1">
      <alignment horizontal="center"/>
    </xf>
    <xf numFmtId="4" fontId="15" fillId="0" borderId="5" xfId="0" applyNumberFormat="1" applyFont="1" applyBorder="1" applyAlignment="1">
      <alignment horizontal="right"/>
    </xf>
    <xf numFmtId="4" fontId="31" fillId="0" borderId="5" xfId="12" applyNumberFormat="1" applyFont="1" applyBorder="1" applyAlignment="1">
      <alignment horizontal="right"/>
    </xf>
    <xf numFmtId="4" fontId="32" fillId="0" borderId="5" xfId="12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0" fillId="0" borderId="0" xfId="0" applyFont="1"/>
    <xf numFmtId="0" fontId="35" fillId="0" borderId="5" xfId="0" applyFont="1" applyFill="1" applyBorder="1" applyAlignment="1">
      <alignment horizontal="left" vertical="top" wrapText="1"/>
    </xf>
    <xf numFmtId="0" fontId="11" fillId="0" borderId="5" xfId="0" applyFont="1" applyFill="1" applyBorder="1"/>
    <xf numFmtId="43" fontId="11" fillId="0" borderId="5" xfId="12" applyFont="1" applyFill="1" applyBorder="1" applyAlignment="1">
      <alignment horizontal="center"/>
    </xf>
    <xf numFmtId="43" fontId="11" fillId="0" borderId="5" xfId="12" applyFont="1" applyBorder="1" applyAlignment="1">
      <alignment horizontal="center"/>
    </xf>
    <xf numFmtId="43" fontId="24" fillId="0" borderId="5" xfId="12" applyFont="1" applyBorder="1" applyAlignment="1">
      <alignment horizontal="center"/>
    </xf>
    <xf numFmtId="0" fontId="24" fillId="0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43" fontId="37" fillId="0" borderId="5" xfId="0" applyNumberFormat="1" applyFont="1" applyFill="1" applyBorder="1"/>
    <xf numFmtId="0" fontId="24" fillId="0" borderId="0" xfId="0" applyFont="1"/>
    <xf numFmtId="0" fontId="24" fillId="0" borderId="0" xfId="0" applyFont="1" applyBorder="1"/>
    <xf numFmtId="43" fontId="11" fillId="0" borderId="0" xfId="12" applyFont="1" applyBorder="1"/>
    <xf numFmtId="0" fontId="11" fillId="0" borderId="0" xfId="0" applyFont="1" applyBorder="1"/>
    <xf numFmtId="0" fontId="0" fillId="2" borderId="0" xfId="0" applyFill="1" applyAlignment="1">
      <alignment vertical="center"/>
    </xf>
    <xf numFmtId="39" fontId="4" fillId="2" borderId="0" xfId="0" applyNumberFormat="1" applyFont="1" applyFill="1" applyAlignment="1">
      <alignment horizontal="center" vertical="center"/>
    </xf>
    <xf numFmtId="49" fontId="0" fillId="2" borderId="0" xfId="0" applyNumberFormat="1" applyFill="1"/>
    <xf numFmtId="41" fontId="4" fillId="2" borderId="12" xfId="0" applyNumberFormat="1" applyFont="1" applyFill="1" applyBorder="1" applyAlignment="1">
      <alignment vertical="center"/>
    </xf>
    <xf numFmtId="41" fontId="3" fillId="2" borderId="0" xfId="0" applyNumberFormat="1" applyFont="1" applyFill="1" applyBorder="1"/>
    <xf numFmtId="39" fontId="3" fillId="2" borderId="0" xfId="0" applyNumberFormat="1" applyFont="1" applyFill="1" applyBorder="1" applyAlignment="1">
      <alignment vertical="center"/>
    </xf>
    <xf numFmtId="41" fontId="4" fillId="2" borderId="13" xfId="0" applyNumberFormat="1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3" fontId="25" fillId="2" borderId="0" xfId="0" applyNumberFormat="1" applyFont="1" applyFill="1" applyAlignment="1">
      <alignment vertical="center"/>
    </xf>
    <xf numFmtId="3" fontId="39" fillId="2" borderId="0" xfId="0" applyNumberFormat="1" applyFont="1" applyFill="1" applyAlignment="1">
      <alignment vertical="center"/>
    </xf>
    <xf numFmtId="0" fontId="3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1" fontId="25" fillId="0" borderId="0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vertical="center"/>
    </xf>
    <xf numFmtId="3" fontId="14" fillId="2" borderId="5" xfId="12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vertical="center"/>
    </xf>
    <xf numFmtId="3" fontId="3" fillId="0" borderId="0" xfId="0" applyNumberFormat="1" applyFont="1"/>
    <xf numFmtId="3" fontId="14" fillId="2" borderId="5" xfId="0" applyNumberFormat="1" applyFont="1" applyFill="1" applyBorder="1" applyAlignment="1"/>
    <xf numFmtId="3" fontId="25" fillId="2" borderId="5" xfId="0" applyNumberFormat="1" applyFont="1" applyFill="1" applyBorder="1" applyAlignment="1"/>
    <xf numFmtId="4" fontId="3" fillId="0" borderId="0" xfId="0" applyNumberFormat="1" applyFont="1" applyFill="1"/>
    <xf numFmtId="0" fontId="3" fillId="0" borderId="0" xfId="0" applyFont="1" applyFill="1"/>
    <xf numFmtId="0" fontId="1" fillId="2" borderId="5" xfId="0" applyFont="1" applyFill="1" applyBorder="1" applyAlignment="1">
      <alignment vertical="center"/>
    </xf>
    <xf numFmtId="41" fontId="40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0" fontId="15" fillId="2" borderId="5" xfId="0" applyFont="1" applyFill="1" applyBorder="1" applyAlignment="1">
      <alignment vertical="center"/>
    </xf>
    <xf numFmtId="0" fontId="14" fillId="2" borderId="5" xfId="0" applyFont="1" applyFill="1" applyBorder="1"/>
    <xf numFmtId="0" fontId="15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horizontal="left" vertical="center" wrapText="1"/>
    </xf>
    <xf numFmtId="3" fontId="14" fillId="2" borderId="5" xfId="12" applyNumberFormat="1" applyFont="1" applyFill="1" applyBorder="1" applyAlignment="1"/>
    <xf numFmtId="0" fontId="11" fillId="2" borderId="5" xfId="0" applyFont="1" applyFill="1" applyBorder="1"/>
    <xf numFmtId="0" fontId="14" fillId="2" borderId="5" xfId="0" applyFont="1" applyFill="1" applyBorder="1" applyAlignment="1">
      <alignment horizontal="left"/>
    </xf>
    <xf numFmtId="4" fontId="14" fillId="2" borderId="5" xfId="0" applyNumberFormat="1" applyFont="1" applyFill="1" applyBorder="1"/>
    <xf numFmtId="0" fontId="13" fillId="2" borderId="5" xfId="1" applyFont="1" applyFill="1" applyBorder="1" applyAlignment="1">
      <alignment vertical="center"/>
    </xf>
    <xf numFmtId="0" fontId="19" fillId="2" borderId="5" xfId="1" applyFont="1" applyFill="1" applyBorder="1" applyAlignment="1">
      <alignment vertical="center"/>
    </xf>
    <xf numFmtId="4" fontId="20" fillId="0" borderId="0" xfId="1" applyNumberFormat="1" applyFont="1" applyFill="1" applyBorder="1" applyAlignment="1">
      <alignment horizontal="center" vertical="center"/>
    </xf>
    <xf numFmtId="3" fontId="41" fillId="2" borderId="5" xfId="12" applyNumberFormat="1" applyFont="1" applyFill="1" applyBorder="1" applyAlignment="1"/>
    <xf numFmtId="0" fontId="13" fillId="2" borderId="5" xfId="0" applyFont="1" applyFill="1" applyBorder="1" applyAlignment="1">
      <alignment vertical="center"/>
    </xf>
    <xf numFmtId="3" fontId="42" fillId="2" borderId="5" xfId="12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" fontId="3" fillId="0" borderId="0" xfId="0" applyNumberFormat="1" applyFont="1" applyAlignment="1"/>
    <xf numFmtId="0" fontId="3" fillId="0" borderId="0" xfId="0" applyFont="1" applyFill="1" applyAlignment="1">
      <alignment horizontal="right" vertical="center"/>
    </xf>
    <xf numFmtId="3" fontId="25" fillId="0" borderId="0" xfId="0" applyNumberFormat="1" applyFont="1" applyAlignment="1"/>
    <xf numFmtId="0" fontId="25" fillId="0" borderId="0" xfId="0" applyFont="1" applyBorder="1" applyAlignment="1">
      <alignment horizontal="center"/>
    </xf>
    <xf numFmtId="0" fontId="0" fillId="0" borderId="0" xfId="0" applyFont="1" applyFill="1"/>
    <xf numFmtId="0" fontId="30" fillId="0" borderId="7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/>
    </xf>
    <xf numFmtId="0" fontId="43" fillId="0" borderId="3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4" fontId="0" fillId="0" borderId="0" xfId="0" applyNumberFormat="1" applyFont="1"/>
    <xf numFmtId="4" fontId="0" fillId="2" borderId="5" xfId="0" applyNumberFormat="1" applyFont="1" applyFill="1" applyBorder="1" applyAlignment="1"/>
    <xf numFmtId="4" fontId="0" fillId="0" borderId="5" xfId="0" applyNumberFormat="1" applyFont="1" applyFill="1" applyBorder="1" applyAlignment="1">
      <alignment horizontal="right"/>
    </xf>
    <xf numFmtId="4" fontId="0" fillId="0" borderId="5" xfId="12" applyNumberFormat="1" applyFont="1" applyFill="1" applyBorder="1"/>
    <xf numFmtId="4" fontId="36" fillId="0" borderId="4" xfId="0" applyNumberFormat="1" applyFont="1" applyBorder="1" applyAlignment="1">
      <alignment horizontal="right"/>
    </xf>
    <xf numFmtId="4" fontId="36" fillId="0" borderId="0" xfId="0" applyNumberFormat="1" applyFont="1" applyBorder="1" applyAlignment="1">
      <alignment horizontal="center"/>
    </xf>
    <xf numFmtId="0" fontId="44" fillId="0" borderId="0" xfId="0" applyFont="1"/>
    <xf numFmtId="0" fontId="21" fillId="0" borderId="0" xfId="0" applyFont="1"/>
    <xf numFmtId="43" fontId="45" fillId="0" borderId="0" xfId="2" applyFont="1" applyFill="1" applyBorder="1" applyAlignment="1">
      <alignment horizontal="center"/>
    </xf>
    <xf numFmtId="0" fontId="34" fillId="0" borderId="6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44" fillId="0" borderId="5" xfId="0" applyFont="1" applyBorder="1"/>
    <xf numFmtId="3" fontId="46" fillId="0" borderId="5" xfId="0" applyNumberFormat="1" applyFont="1" applyBorder="1" applyAlignment="1">
      <alignment horizontal="center"/>
    </xf>
    <xf numFmtId="0" fontId="45" fillId="0" borderId="5" xfId="0" applyFont="1" applyBorder="1"/>
    <xf numFmtId="0" fontId="34" fillId="0" borderId="5" xfId="0" applyFont="1" applyFill="1" applyBorder="1" applyAlignment="1">
      <alignment horizontal="center"/>
    </xf>
    <xf numFmtId="43" fontId="44" fillId="0" borderId="0" xfId="0" applyNumberFormat="1" applyFont="1"/>
    <xf numFmtId="3" fontId="10" fillId="0" borderId="5" xfId="0" applyNumberFormat="1" applyFont="1" applyBorder="1" applyAlignment="1">
      <alignment horizontal="right"/>
    </xf>
    <xf numFmtId="0" fontId="0" fillId="0" borderId="0" xfId="0" applyFont="1" applyBorder="1"/>
    <xf numFmtId="3" fontId="0" fillId="0" borderId="0" xfId="0" applyNumberFormat="1" applyFont="1"/>
    <xf numFmtId="0" fontId="0" fillId="0" borderId="5" xfId="0" applyFont="1" applyFill="1" applyBorder="1"/>
    <xf numFmtId="43" fontId="8" fillId="0" borderId="5" xfId="12" applyFont="1" applyFill="1" applyBorder="1" applyAlignment="1">
      <alignment horizontal="right" vertical="top" wrapText="1" readingOrder="1"/>
    </xf>
    <xf numFmtId="0" fontId="10" fillId="0" borderId="5" xfId="0" applyFont="1" applyBorder="1" applyAlignment="1">
      <alignment horizontal="left"/>
    </xf>
    <xf numFmtId="3" fontId="0" fillId="0" borderId="0" xfId="0" applyNumberFormat="1" applyFont="1" applyBorder="1"/>
    <xf numFmtId="0" fontId="10" fillId="0" borderId="3" xfId="0" applyFont="1" applyBorder="1"/>
    <xf numFmtId="43" fontId="0" fillId="0" borderId="5" xfId="12" applyFont="1" applyBorder="1" applyAlignment="1">
      <alignment vertical="center"/>
    </xf>
    <xf numFmtId="0" fontId="30" fillId="0" borderId="3" xfId="9" applyFont="1" applyFill="1" applyBorder="1"/>
    <xf numFmtId="43" fontId="8" fillId="0" borderId="5" xfId="0" applyNumberFormat="1" applyFont="1" applyFill="1" applyBorder="1" applyAlignment="1">
      <alignment horizontal="right" vertical="top" wrapText="1" readingOrder="1"/>
    </xf>
    <xf numFmtId="3" fontId="44" fillId="0" borderId="5" xfId="0" applyNumberFormat="1" applyFont="1" applyBorder="1" applyAlignment="1">
      <alignment horizontal="right"/>
    </xf>
    <xf numFmtId="43" fontId="44" fillId="0" borderId="5" xfId="12" applyFont="1" applyBorder="1" applyAlignment="1">
      <alignment horizontal="right"/>
    </xf>
    <xf numFmtId="166" fontId="44" fillId="0" borderId="5" xfId="0" applyNumberFormat="1" applyFont="1" applyBorder="1" applyAlignment="1">
      <alignment horizontal="right"/>
    </xf>
    <xf numFmtId="0" fontId="1" fillId="2" borderId="0" xfId="0" applyFont="1" applyFill="1" applyAlignment="1">
      <alignment vertical="center"/>
    </xf>
    <xf numFmtId="0" fontId="43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0" fontId="0" fillId="0" borderId="0" xfId="0" applyFont="1" applyFill="1" applyBorder="1"/>
    <xf numFmtId="41" fontId="3" fillId="2" borderId="5" xfId="0" applyNumberFormat="1" applyFont="1" applyFill="1" applyBorder="1" applyAlignment="1">
      <alignment vertical="center"/>
    </xf>
    <xf numFmtId="41" fontId="44" fillId="0" borderId="5" xfId="12" applyNumberFormat="1" applyFont="1" applyBorder="1" applyAlignment="1">
      <alignment horizontal="right"/>
    </xf>
    <xf numFmtId="0" fontId="1" fillId="2" borderId="0" xfId="0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3" fillId="0" borderId="6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3">
    <cellStyle name="Comma_Hoja de trabajo flujo 2007" xfId="7"/>
    <cellStyle name="Millares" xfId="12" builtinId="3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3473825</xdr:colOff>
      <xdr:row>4</xdr:row>
      <xdr:rowOff>78441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473824" cy="840441"/>
        </a:xfrm>
        <a:prstGeom prst="rect">
          <a:avLst/>
        </a:prstGeom>
      </xdr:spPr>
    </xdr:pic>
    <xdr:clientData/>
  </xdr:twoCellAnchor>
  <xdr:twoCellAnchor>
    <xdr:from>
      <xdr:col>0</xdr:col>
      <xdr:colOff>3843618</xdr:colOff>
      <xdr:row>0</xdr:row>
      <xdr:rowOff>0</xdr:rowOff>
    </xdr:from>
    <xdr:to>
      <xdr:col>2</xdr:col>
      <xdr:colOff>984837</xdr:colOff>
      <xdr:row>4</xdr:row>
      <xdr:rowOff>160734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43618" y="0"/>
          <a:ext cx="2508837" cy="9227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1897380</xdr:colOff>
      <xdr:row>2</xdr:row>
      <xdr:rowOff>53340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7380" cy="419100"/>
        </a:xfrm>
        <a:prstGeom prst="rect">
          <a:avLst/>
        </a:prstGeom>
      </xdr:spPr>
    </xdr:pic>
    <xdr:clientData/>
  </xdr:twoCellAnchor>
  <xdr:twoCellAnchor>
    <xdr:from>
      <xdr:col>0</xdr:col>
      <xdr:colOff>2560320</xdr:colOff>
      <xdr:row>0</xdr:row>
      <xdr:rowOff>0</xdr:rowOff>
    </xdr:from>
    <xdr:to>
      <xdr:col>1</xdr:col>
      <xdr:colOff>2181621</xdr:colOff>
      <xdr:row>3</xdr:row>
      <xdr:rowOff>18430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60320" y="0"/>
          <a:ext cx="2661681" cy="5670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2613660</xdr:colOff>
      <xdr:row>3</xdr:row>
      <xdr:rowOff>26250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13660" cy="574890"/>
        </a:xfrm>
        <a:prstGeom prst="rect">
          <a:avLst/>
        </a:prstGeom>
      </xdr:spPr>
    </xdr:pic>
    <xdr:clientData/>
  </xdr:twoCellAnchor>
  <xdr:twoCellAnchor>
    <xdr:from>
      <xdr:col>0</xdr:col>
      <xdr:colOff>3070860</xdr:colOff>
      <xdr:row>0</xdr:row>
      <xdr:rowOff>99060</xdr:rowOff>
    </xdr:from>
    <xdr:to>
      <xdr:col>1</xdr:col>
      <xdr:colOff>870981</xdr:colOff>
      <xdr:row>3</xdr:row>
      <xdr:rowOff>117490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70860" y="99060"/>
          <a:ext cx="2661681" cy="56707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2057400</xdr:colOff>
      <xdr:row>2</xdr:row>
      <xdr:rowOff>7621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057400" cy="464820"/>
        </a:xfrm>
        <a:prstGeom prst="rect">
          <a:avLst/>
        </a:prstGeom>
      </xdr:spPr>
    </xdr:pic>
    <xdr:clientData/>
  </xdr:twoCellAnchor>
  <xdr:twoCellAnchor>
    <xdr:from>
      <xdr:col>0</xdr:col>
      <xdr:colOff>3040380</xdr:colOff>
      <xdr:row>0</xdr:row>
      <xdr:rowOff>0</xdr:rowOff>
    </xdr:from>
    <xdr:to>
      <xdr:col>1</xdr:col>
      <xdr:colOff>1236741</xdr:colOff>
      <xdr:row>2</xdr:row>
      <xdr:rowOff>109870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40380" y="0"/>
          <a:ext cx="2661681" cy="5670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0</xdr:col>
      <xdr:colOff>2019301</xdr:colOff>
      <xdr:row>2</xdr:row>
      <xdr:rowOff>167640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1996440" cy="533400"/>
        </a:xfrm>
        <a:prstGeom prst="rect">
          <a:avLst/>
        </a:prstGeom>
      </xdr:spPr>
    </xdr:pic>
    <xdr:clientData/>
  </xdr:twoCellAnchor>
  <xdr:twoCellAnchor>
    <xdr:from>
      <xdr:col>0</xdr:col>
      <xdr:colOff>3581400</xdr:colOff>
      <xdr:row>0</xdr:row>
      <xdr:rowOff>38100</xdr:rowOff>
    </xdr:from>
    <xdr:to>
      <xdr:col>1</xdr:col>
      <xdr:colOff>1762521</xdr:colOff>
      <xdr:row>3</xdr:row>
      <xdr:rowOff>56530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81400" y="38100"/>
          <a:ext cx="2661681" cy="567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</xdr:rowOff>
    </xdr:from>
    <xdr:to>
      <xdr:col>3</xdr:col>
      <xdr:colOff>2698750</xdr:colOff>
      <xdr:row>2</xdr:row>
      <xdr:rowOff>77470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"/>
          <a:ext cx="2995930" cy="437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2758441</xdr:colOff>
      <xdr:row>0</xdr:row>
      <xdr:rowOff>0</xdr:rowOff>
    </xdr:from>
    <xdr:to>
      <xdr:col>23</xdr:col>
      <xdr:colOff>1</xdr:colOff>
      <xdr:row>3</xdr:row>
      <xdr:rowOff>18430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55621" y="0"/>
          <a:ext cx="2263140" cy="5670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1417320</xdr:colOff>
      <xdr:row>2</xdr:row>
      <xdr:rowOff>99060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5960" cy="464820"/>
        </a:xfrm>
        <a:prstGeom prst="rect">
          <a:avLst/>
        </a:prstGeom>
      </xdr:spPr>
    </xdr:pic>
    <xdr:clientData/>
  </xdr:twoCellAnchor>
  <xdr:twoCellAnchor>
    <xdr:from>
      <xdr:col>3</xdr:col>
      <xdr:colOff>2171700</xdr:colOff>
      <xdr:row>0</xdr:row>
      <xdr:rowOff>0</xdr:rowOff>
    </xdr:from>
    <xdr:to>
      <xdr:col>8</xdr:col>
      <xdr:colOff>48021</xdr:colOff>
      <xdr:row>2</xdr:row>
      <xdr:rowOff>53340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20340" y="0"/>
          <a:ext cx="2661681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2419661</xdr:colOff>
      <xdr:row>3</xdr:row>
      <xdr:rowOff>17722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419660" cy="602512"/>
        </a:xfrm>
        <a:prstGeom prst="rect">
          <a:avLst/>
        </a:prstGeom>
      </xdr:spPr>
    </xdr:pic>
    <xdr:clientData/>
  </xdr:twoCellAnchor>
  <xdr:twoCellAnchor>
    <xdr:from>
      <xdr:col>1</xdr:col>
      <xdr:colOff>3998285</xdr:colOff>
      <xdr:row>0</xdr:row>
      <xdr:rowOff>44303</xdr:rowOff>
    </xdr:from>
    <xdr:to>
      <xdr:col>2</xdr:col>
      <xdr:colOff>1201919</xdr:colOff>
      <xdr:row>3</xdr:row>
      <xdr:rowOff>26582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98285" y="44303"/>
          <a:ext cx="2661681" cy="5670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2781300</xdr:colOff>
      <xdr:row>3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81300" cy="685800"/>
        </a:xfrm>
        <a:prstGeom prst="rect">
          <a:avLst/>
        </a:prstGeom>
      </xdr:spPr>
    </xdr:pic>
    <xdr:clientData/>
  </xdr:twoCellAnchor>
  <xdr:twoCellAnchor>
    <xdr:from>
      <xdr:col>0</xdr:col>
      <xdr:colOff>2828925</xdr:colOff>
      <xdr:row>0</xdr:row>
      <xdr:rowOff>0</xdr:rowOff>
    </xdr:from>
    <xdr:to>
      <xdr:col>1</xdr:col>
      <xdr:colOff>1346787</xdr:colOff>
      <xdr:row>4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28925" y="0"/>
          <a:ext cx="2508837" cy="76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2324101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324100" cy="548640"/>
        </a:xfrm>
        <a:prstGeom prst="rect">
          <a:avLst/>
        </a:prstGeom>
      </xdr:spPr>
    </xdr:pic>
    <xdr:clientData/>
  </xdr:twoCellAnchor>
  <xdr:twoCellAnchor>
    <xdr:from>
      <xdr:col>0</xdr:col>
      <xdr:colOff>2705101</xdr:colOff>
      <xdr:row>0</xdr:row>
      <xdr:rowOff>53340</xdr:rowOff>
    </xdr:from>
    <xdr:to>
      <xdr:col>1</xdr:col>
      <xdr:colOff>982981</xdr:colOff>
      <xdr:row>3</xdr:row>
      <xdr:rowOff>71770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05101" y="53340"/>
          <a:ext cx="2026920" cy="5670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2065021</xdr:colOff>
      <xdr:row>2</xdr:row>
      <xdr:rowOff>175260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65020" cy="541020"/>
        </a:xfrm>
        <a:prstGeom prst="rect">
          <a:avLst/>
        </a:prstGeom>
      </xdr:spPr>
    </xdr:pic>
    <xdr:clientData/>
  </xdr:twoCellAnchor>
  <xdr:twoCellAnchor>
    <xdr:from>
      <xdr:col>0</xdr:col>
      <xdr:colOff>2270761</xdr:colOff>
      <xdr:row>0</xdr:row>
      <xdr:rowOff>0</xdr:rowOff>
    </xdr:from>
    <xdr:to>
      <xdr:col>1</xdr:col>
      <xdr:colOff>937261</xdr:colOff>
      <xdr:row>3</xdr:row>
      <xdr:rowOff>18430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70761" y="0"/>
          <a:ext cx="2415540" cy="5670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2148841</xdr:colOff>
      <xdr:row>2</xdr:row>
      <xdr:rowOff>167640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48840" cy="533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261381</xdr:colOff>
      <xdr:row>3</xdr:row>
      <xdr:rowOff>18430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11780" y="0"/>
          <a:ext cx="2661681" cy="5670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3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09800" cy="586740"/>
        </a:xfrm>
        <a:prstGeom prst="rect">
          <a:avLst/>
        </a:prstGeom>
      </xdr:spPr>
    </xdr:pic>
    <xdr:clientData/>
  </xdr:twoCellAnchor>
  <xdr:twoCellAnchor>
    <xdr:from>
      <xdr:col>0</xdr:col>
      <xdr:colOff>2468880</xdr:colOff>
      <xdr:row>0</xdr:row>
      <xdr:rowOff>0</xdr:rowOff>
    </xdr:from>
    <xdr:to>
      <xdr:col>2</xdr:col>
      <xdr:colOff>672861</xdr:colOff>
      <xdr:row>3</xdr:row>
      <xdr:rowOff>18430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68880" y="0"/>
          <a:ext cx="2661681" cy="5670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Estados%20Financieros/Estados%20Financieros%20agosto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ccion/Documents/Ismael%20Bolwine/Estados%20Financieros%20Formato-AL%2028%20Febrero%202021%20-%20copia%20-%20copia%20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mcuello\Desktop\ARCHIVO%20SNS\MODELO%20ESTADOS%20FINANCIERO\EEFF%20Digecog%202017-2016%20JARS%20Fin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Rosario/Downloads/Estados%20Financieros%20a%20julio%20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ccion/Documents/Ismael%20Bolwine/ADMINISTRATIVO/Estados%20Financieros%20Diciembre%20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ownloads/Estados%20Financieros%20Enero%202022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Estados%20Financieros/Estados%20Financieros%20Febrero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Estados%20Financieros/Estados%20Financieros%20Abril%20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ccion/Documents/Ismael%20Bolwine/CUENTAS%20X%20COBRAR%20%20Agosto%202021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ccion/Downloads/DEUDA%20DICIEMBRE%202021%20m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Abril"/>
      <sheetName val="ESF.SNS"/>
      <sheetName val="ANEXO NOTAS "/>
      <sheetName val="ERF SRS"/>
    </sheetNames>
    <sheetDataSet>
      <sheetData sheetId="0"/>
      <sheetData sheetId="1"/>
      <sheetData sheetId="2">
        <row r="19">
          <cell r="O19">
            <v>7145941.2999999998</v>
          </cell>
          <cell r="P19">
            <v>8339881.3899999997</v>
          </cell>
          <cell r="Q19">
            <v>7495750.6699999999</v>
          </cell>
          <cell r="R19">
            <v>6142944</v>
          </cell>
        </row>
        <row r="26">
          <cell r="M26">
            <v>6803233.2000000002</v>
          </cell>
          <cell r="N26">
            <v>8236479.5299999993</v>
          </cell>
          <cell r="O26">
            <v>7436738.2200000007</v>
          </cell>
          <cell r="P26">
            <v>6769953.3000000007</v>
          </cell>
          <cell r="Q26">
            <v>6105871.2199999997</v>
          </cell>
          <cell r="R26">
            <v>5042737</v>
          </cell>
        </row>
        <row r="34">
          <cell r="M34">
            <v>4524152.2699999996</v>
          </cell>
          <cell r="N34">
            <v>2245461.1</v>
          </cell>
          <cell r="O34">
            <v>2245461.1</v>
          </cell>
          <cell r="P34">
            <v>2245461.1</v>
          </cell>
          <cell r="Q34">
            <v>2588635.5699999998</v>
          </cell>
          <cell r="R34">
            <v>2588635</v>
          </cell>
        </row>
        <row r="39">
          <cell r="M39">
            <v>0</v>
          </cell>
          <cell r="N39">
            <v>2499075</v>
          </cell>
          <cell r="O39">
            <v>2495750.37</v>
          </cell>
          <cell r="P39">
            <v>2495319.0299999998</v>
          </cell>
          <cell r="Q39">
            <v>2496354.08</v>
          </cell>
          <cell r="R39">
            <v>2494880</v>
          </cell>
        </row>
        <row r="43">
          <cell r="O43">
            <v>1719061.66</v>
          </cell>
          <cell r="P43">
            <v>1205716.45</v>
          </cell>
          <cell r="Q43">
            <v>427797.28</v>
          </cell>
          <cell r="R43">
            <v>330223</v>
          </cell>
        </row>
        <row r="44">
          <cell r="M44">
            <v>3267495.96</v>
          </cell>
          <cell r="N44">
            <v>1570580.9</v>
          </cell>
        </row>
        <row r="48">
          <cell r="R48">
            <v>2807325.04</v>
          </cell>
        </row>
        <row r="53">
          <cell r="R53">
            <v>7919609.4000000004</v>
          </cell>
        </row>
        <row r="65">
          <cell r="M65">
            <v>524610</v>
          </cell>
          <cell r="N65">
            <v>6091808</v>
          </cell>
          <cell r="O65">
            <v>6084597.6600000001</v>
          </cell>
          <cell r="P65">
            <v>6084597.6600000001</v>
          </cell>
          <cell r="Q65">
            <v>5425535</v>
          </cell>
          <cell r="R65">
            <v>5425535</v>
          </cell>
        </row>
        <row r="76">
          <cell r="M76">
            <v>82815.899999999994</v>
          </cell>
          <cell r="N76">
            <v>1002587.51</v>
          </cell>
          <cell r="O76">
            <v>74261.34</v>
          </cell>
          <cell r="P76">
            <v>995100.56</v>
          </cell>
          <cell r="Q76">
            <v>841502</v>
          </cell>
          <cell r="R76">
            <v>972454</v>
          </cell>
        </row>
        <row r="77">
          <cell r="M77">
            <v>1118591</v>
          </cell>
          <cell r="N77">
            <v>2799297.83</v>
          </cell>
          <cell r="O77">
            <v>71274.75</v>
          </cell>
          <cell r="P77">
            <v>802015.53</v>
          </cell>
          <cell r="Q77">
            <v>2128641.0499999998</v>
          </cell>
          <cell r="R77">
            <v>0</v>
          </cell>
        </row>
      </sheetData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Comprobacion"/>
      <sheetName val="ESF SNS"/>
      <sheetName val="ERF SRS"/>
      <sheetName val="ECAMP"/>
      <sheetName val="EST. Flujo Efc"/>
      <sheetName val="Efectivo"/>
      <sheetName val="Cuenta por Cobrar"/>
      <sheetName val="Inventario"/>
      <sheetName val="Mobiliario Eq. Ofc."/>
      <sheetName val="CXP Corto plazo"/>
      <sheetName val="Retenciones y Acum."/>
      <sheetName val="Benef. Empl x p Corto Plazo"/>
      <sheetName val="CXP Largo Plazo"/>
      <sheetName val="Benef. Empl x pagar Larg. Plaz"/>
      <sheetName val="Patrimonio"/>
      <sheetName val="Ingresos"/>
      <sheetName val="Gastos"/>
      <sheetName val="Total Gasto"/>
    </sheetNames>
    <sheetDataSet>
      <sheetData sheetId="0">
        <row r="23">
          <cell r="C23">
            <v>0</v>
          </cell>
          <cell r="D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al Comprobacion Abr"/>
      <sheetName val="Bal Comprobacion Mayo"/>
      <sheetName val="Bal Comprobacion Junio"/>
      <sheetName val="Bal Comprobacion Julio"/>
      <sheetName val="ESF SNS"/>
      <sheetName val="Anexo Notas "/>
    </sheetNames>
    <sheetDataSet>
      <sheetData sheetId="0" refreshError="1">
        <row r="10">
          <cell r="C10">
            <v>6038369.7699999996</v>
          </cell>
        </row>
        <row r="11">
          <cell r="C11">
            <v>2726697.9199999943</v>
          </cell>
        </row>
        <row r="18">
          <cell r="D18">
            <v>13522609.74</v>
          </cell>
        </row>
        <row r="21">
          <cell r="D21">
            <v>19578905.010000002</v>
          </cell>
        </row>
        <row r="34">
          <cell r="D34">
            <v>3355082.04</v>
          </cell>
        </row>
      </sheetData>
      <sheetData sheetId="1" refreshError="1">
        <row r="10">
          <cell r="C10">
            <v>8853117.4499999993</v>
          </cell>
        </row>
        <row r="11">
          <cell r="C11">
            <v>10017000.289999994</v>
          </cell>
        </row>
        <row r="12">
          <cell r="C12">
            <v>26035133</v>
          </cell>
        </row>
        <row r="18">
          <cell r="D18">
            <v>8787960.1899999995</v>
          </cell>
        </row>
        <row r="20">
          <cell r="C20">
            <v>2847347</v>
          </cell>
        </row>
        <row r="21">
          <cell r="D21">
            <v>18708814.48</v>
          </cell>
        </row>
      </sheetData>
      <sheetData sheetId="2" refreshError="1">
        <row r="10">
          <cell r="C10">
            <v>8131336.8600000003</v>
          </cell>
        </row>
        <row r="11">
          <cell r="C11">
            <v>8670349.0199999996</v>
          </cell>
        </row>
        <row r="12">
          <cell r="C12">
            <v>9071259.5299999993</v>
          </cell>
        </row>
        <row r="18">
          <cell r="D18">
            <v>4491687.3</v>
          </cell>
        </row>
        <row r="21">
          <cell r="D21">
            <v>17827222.579999998</v>
          </cell>
        </row>
        <row r="34">
          <cell r="D34">
            <v>3141231.1189999999</v>
          </cell>
        </row>
      </sheetData>
      <sheetData sheetId="3" refreshError="1">
        <row r="10">
          <cell r="C10">
            <v>9786222.9500000011</v>
          </cell>
        </row>
        <row r="11">
          <cell r="C11">
            <v>8722552.0700000003</v>
          </cell>
        </row>
        <row r="12">
          <cell r="C12">
            <v>7639427.29</v>
          </cell>
        </row>
        <row r="18">
          <cell r="D18">
            <v>1491762.3900000001</v>
          </cell>
        </row>
        <row r="20">
          <cell r="C20">
            <v>3726072.6170000001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Julio"/>
      <sheetName val="Bal Comprobacion Agosto"/>
      <sheetName val="Bal Comprobacion Septiembre"/>
      <sheetName val="Bal Comprobacion Octubre"/>
      <sheetName val="Bal Comprobacion Noviembre"/>
      <sheetName val="Bal Comprobacion Diciembre"/>
      <sheetName val="ESF.SNS"/>
      <sheetName val="ANEXO NOTAS "/>
    </sheetNames>
    <sheetDataSet>
      <sheetData sheetId="0" refreshError="1"/>
      <sheetData sheetId="1" refreshError="1">
        <row r="10">
          <cell r="C10">
            <v>12499168.91</v>
          </cell>
        </row>
        <row r="18">
          <cell r="D18">
            <v>1255799.3699999999</v>
          </cell>
        </row>
        <row r="20">
          <cell r="C20">
            <v>2628113.9064999996</v>
          </cell>
        </row>
        <row r="21">
          <cell r="D21">
            <v>14191537.369999997</v>
          </cell>
        </row>
      </sheetData>
      <sheetData sheetId="2" refreshError="1">
        <row r="10">
          <cell r="C10">
            <v>6880777.9800000004</v>
          </cell>
        </row>
        <row r="11">
          <cell r="C11">
            <v>9611818.0699999779</v>
          </cell>
        </row>
        <row r="12">
          <cell r="C12">
            <v>5323163.3100000015</v>
          </cell>
        </row>
        <row r="18">
          <cell r="D18">
            <v>2198503.5500000003</v>
          </cell>
        </row>
        <row r="21">
          <cell r="D21">
            <v>13823934.869999999</v>
          </cell>
        </row>
        <row r="34">
          <cell r="D34">
            <v>2011021.33</v>
          </cell>
        </row>
      </sheetData>
      <sheetData sheetId="3" refreshError="1">
        <row r="10">
          <cell r="C10">
            <v>7999987.1799999997</v>
          </cell>
        </row>
        <row r="11">
          <cell r="C11">
            <v>14213410.259999976</v>
          </cell>
        </row>
        <row r="12">
          <cell r="C12">
            <v>13329706.239999998</v>
          </cell>
        </row>
        <row r="18">
          <cell r="D18">
            <v>2368128.9899999998</v>
          </cell>
        </row>
        <row r="21">
          <cell r="D21">
            <v>14580400.019999977</v>
          </cell>
        </row>
        <row r="28">
          <cell r="D28">
            <v>1402009.7</v>
          </cell>
        </row>
      </sheetData>
      <sheetData sheetId="4" refreshError="1">
        <row r="10">
          <cell r="C10">
            <v>10700224.689999999</v>
          </cell>
        </row>
        <row r="11">
          <cell r="C11">
            <v>13806156.409999968</v>
          </cell>
        </row>
        <row r="12">
          <cell r="C12">
            <v>20548976.789999999</v>
          </cell>
        </row>
        <row r="18">
          <cell r="D18">
            <v>1299288.28</v>
          </cell>
        </row>
        <row r="21">
          <cell r="D21">
            <v>13750297.869999999</v>
          </cell>
        </row>
        <row r="34">
          <cell r="D34">
            <v>2011021.33</v>
          </cell>
        </row>
      </sheetData>
      <sheetData sheetId="5" refreshError="1">
        <row r="10">
          <cell r="C10">
            <v>12181300.399999999</v>
          </cell>
        </row>
        <row r="11">
          <cell r="C11">
            <v>11814381.922999967</v>
          </cell>
        </row>
        <row r="12">
          <cell r="C12">
            <v>4136532.4899999993</v>
          </cell>
        </row>
        <row r="34">
          <cell r="D34">
            <v>3759866.057</v>
          </cell>
        </row>
      </sheetData>
      <sheetData sheetId="6" refreshError="1"/>
      <sheetData sheetId="7" refreshError="1">
        <row r="33">
          <cell r="G33">
            <v>7190673.330000001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Enero"/>
      <sheetName val="ESF.SNS"/>
      <sheetName val="ANEXO NOTAS "/>
    </sheetNames>
    <sheetDataSet>
      <sheetData sheetId="0">
        <row r="10">
          <cell r="C10">
            <v>9530060.3000000007</v>
          </cell>
        </row>
        <row r="21">
          <cell r="D21">
            <v>14713227.019999998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Enero"/>
      <sheetName val="ESF.SNS"/>
      <sheetName val="ANEXO NOTAS "/>
    </sheetNames>
    <sheetDataSet>
      <sheetData sheetId="0">
        <row r="10">
          <cell r="C10">
            <v>7220510.4299999997</v>
          </cell>
        </row>
        <row r="21">
          <cell r="D21">
            <v>11884059.039999999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Abril"/>
      <sheetName val="ESF.SNS"/>
      <sheetName val="ANEXO NOTAS "/>
    </sheetNames>
    <sheetDataSet>
      <sheetData sheetId="0"/>
      <sheetData sheetId="1"/>
      <sheetData sheetId="2">
        <row r="19">
          <cell r="O19">
            <v>7220770.54</v>
          </cell>
        </row>
        <row r="26">
          <cell r="O26">
            <v>7385459.1500000004</v>
          </cell>
        </row>
        <row r="34">
          <cell r="O34">
            <v>2133187</v>
          </cell>
        </row>
        <row r="39">
          <cell r="O39">
            <v>2495750.37</v>
          </cell>
        </row>
        <row r="43">
          <cell r="O43">
            <v>1719061.66</v>
          </cell>
        </row>
        <row r="56">
          <cell r="O56">
            <v>6084597.6600000001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ASA"/>
      <sheetName val="SENASA SUBSIDIADO"/>
      <sheetName val="SALUD SEGURA"/>
      <sheetName val="FUTURO"/>
      <sheetName val="RENACER"/>
      <sheetName val="AMOR Y PAZ"/>
      <sheetName val="META SALUD "/>
      <sheetName val="GMA"/>
      <sheetName val="SIMAG"/>
      <sheetName val="APS"/>
      <sheetName val="C.M.D."/>
      <sheetName val="MONUMENTAL "/>
      <sheetName val="SEMMA"/>
      <sheetName val="Mafre "/>
      <sheetName val="RESUME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9">
          <cell r="C19">
            <v>9080621.8599999808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DICEMBRE 2021"/>
    </sheetNames>
    <sheetDataSet>
      <sheetData sheetId="0">
        <row r="89">
          <cell r="F89">
            <v>13031642.02</v>
          </cell>
          <cell r="G89">
            <v>3278454.4200000009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85"/>
  <sheetViews>
    <sheetView zoomScale="85" zoomScaleNormal="85" workbookViewId="0">
      <selection activeCell="N1" sqref="N1"/>
    </sheetView>
  </sheetViews>
  <sheetFormatPr baseColWidth="10" defaultColWidth="11.42578125" defaultRowHeight="15"/>
  <cols>
    <col min="1" max="1" width="57.85546875" style="2" customWidth="1"/>
    <col min="2" max="2" width="22.7109375" style="155" customWidth="1"/>
    <col min="3" max="3" width="18.42578125" style="155" customWidth="1"/>
    <col min="4" max="4" width="6.42578125" style="156" customWidth="1"/>
    <col min="5" max="5" width="16.42578125" style="2" hidden="1" customWidth="1"/>
    <col min="6" max="6" width="17.5703125" style="2" hidden="1" customWidth="1"/>
    <col min="7" max="7" width="16.42578125" style="2" hidden="1" customWidth="1"/>
    <col min="8" max="8" width="24.5703125" style="2" hidden="1" customWidth="1"/>
    <col min="9" max="12" width="11.42578125" style="2" hidden="1" customWidth="1"/>
    <col min="13" max="16384" width="11.42578125" style="2"/>
  </cols>
  <sheetData>
    <row r="6" spans="1:8">
      <c r="A6" s="117" t="s">
        <v>283</v>
      </c>
      <c r="B6" s="118"/>
      <c r="C6" s="119"/>
      <c r="D6" s="120"/>
    </row>
    <row r="7" spans="1:8" ht="15.75">
      <c r="A7" s="198" t="s">
        <v>284</v>
      </c>
      <c r="B7" s="198"/>
      <c r="C7" s="198"/>
      <c r="D7" s="121"/>
    </row>
    <row r="8" spans="1:8" ht="15.75">
      <c r="A8" s="198" t="s">
        <v>285</v>
      </c>
      <c r="B8" s="198"/>
      <c r="C8" s="198"/>
      <c r="D8" s="121"/>
    </row>
    <row r="9" spans="1:8" ht="15.75">
      <c r="A9" s="198" t="s">
        <v>286</v>
      </c>
      <c r="B9" s="198"/>
      <c r="C9" s="198"/>
      <c r="D9" s="121"/>
    </row>
    <row r="10" spans="1:8" ht="15.75">
      <c r="A10" s="198" t="s">
        <v>377</v>
      </c>
      <c r="B10" s="198"/>
      <c r="C10" s="198"/>
      <c r="D10" s="121"/>
    </row>
    <row r="11" spans="1:8" ht="15.75">
      <c r="A11" s="198" t="s">
        <v>0</v>
      </c>
      <c r="B11" s="198"/>
      <c r="C11" s="198"/>
      <c r="D11" s="121"/>
    </row>
    <row r="12" spans="1:8" ht="15.75">
      <c r="A12" s="198" t="s">
        <v>379</v>
      </c>
      <c r="B12" s="198"/>
      <c r="C12" s="198"/>
      <c r="D12" s="122"/>
    </row>
    <row r="13" spans="1:8">
      <c r="A13" s="45"/>
      <c r="B13" s="118"/>
      <c r="C13" s="118"/>
      <c r="D13" s="122"/>
    </row>
    <row r="14" spans="1:8" ht="15.75">
      <c r="A14" s="123" t="s">
        <v>287</v>
      </c>
      <c r="B14" s="124" t="s">
        <v>288</v>
      </c>
      <c r="C14" s="124" t="s">
        <v>289</v>
      </c>
      <c r="D14" s="125"/>
    </row>
    <row r="15" spans="1:8" ht="15.75">
      <c r="A15" s="126" t="s">
        <v>290</v>
      </c>
      <c r="B15" s="127">
        <f>45739146+7829285+Efectivo!C23</f>
        <v>54250484.880000003</v>
      </c>
      <c r="C15" s="128"/>
      <c r="D15" s="122"/>
      <c r="H15" s="2" t="s">
        <v>291</v>
      </c>
    </row>
    <row r="16" spans="1:8" ht="15.75">
      <c r="A16" s="126" t="s">
        <v>265</v>
      </c>
      <c r="B16" s="128">
        <v>14300468</v>
      </c>
      <c r="C16" s="128"/>
      <c r="D16" s="122"/>
      <c r="E16" s="41"/>
      <c r="F16" s="41"/>
      <c r="H16" s="2" t="s">
        <v>292</v>
      </c>
    </row>
    <row r="17" spans="1:8" ht="15.75">
      <c r="A17" s="126" t="s">
        <v>293</v>
      </c>
      <c r="B17" s="128"/>
      <c r="C17" s="128"/>
      <c r="D17" s="122"/>
      <c r="E17" s="41"/>
      <c r="F17" s="41"/>
    </row>
    <row r="18" spans="1:8" ht="15.75">
      <c r="A18" s="126" t="s">
        <v>294</v>
      </c>
      <c r="B18" s="127">
        <v>0</v>
      </c>
      <c r="C18" s="128"/>
      <c r="D18" s="122"/>
      <c r="E18" s="41"/>
      <c r="F18" s="41"/>
      <c r="G18" s="28"/>
      <c r="H18" s="2" t="s">
        <v>295</v>
      </c>
    </row>
    <row r="19" spans="1:8" ht="15.75">
      <c r="A19" s="126" t="s">
        <v>296</v>
      </c>
      <c r="B19" s="130">
        <v>0</v>
      </c>
      <c r="C19" s="128"/>
      <c r="D19" s="122"/>
      <c r="E19" s="41"/>
      <c r="F19" s="41"/>
    </row>
    <row r="20" spans="1:8" ht="15.75">
      <c r="A20" s="126" t="s">
        <v>297</v>
      </c>
      <c r="B20" s="131"/>
      <c r="C20" s="128">
        <v>0</v>
      </c>
      <c r="D20" s="122"/>
      <c r="E20" s="41"/>
      <c r="F20" s="41"/>
      <c r="H20" s="2" t="s">
        <v>298</v>
      </c>
    </row>
    <row r="21" spans="1:8" ht="15.75">
      <c r="A21" s="126" t="s">
        <v>299</v>
      </c>
      <c r="B21" s="130"/>
      <c r="C21" s="128"/>
      <c r="D21" s="122"/>
      <c r="E21" s="41"/>
      <c r="F21" s="41"/>
    </row>
    <row r="22" spans="1:8" ht="15.75">
      <c r="A22" s="126" t="s">
        <v>300</v>
      </c>
      <c r="B22" s="130"/>
      <c r="C22" s="128"/>
      <c r="D22" s="122"/>
      <c r="E22" s="41"/>
      <c r="F22" s="41"/>
    </row>
    <row r="23" spans="1:8" ht="15.75">
      <c r="A23" s="126" t="s">
        <v>301</v>
      </c>
      <c r="B23" s="131"/>
      <c r="C23" s="130">
        <v>2533816</v>
      </c>
      <c r="D23" s="122"/>
      <c r="E23" s="41"/>
      <c r="F23" s="41"/>
      <c r="H23" s="2" t="s">
        <v>302</v>
      </c>
    </row>
    <row r="24" spans="1:8" ht="15.75">
      <c r="A24" s="126" t="s">
        <v>303</v>
      </c>
      <c r="B24" s="131"/>
      <c r="C24" s="131"/>
      <c r="D24" s="122"/>
      <c r="E24" s="41"/>
      <c r="F24" s="41"/>
    </row>
    <row r="25" spans="1:8" ht="15" customHeight="1">
      <c r="A25" s="126" t="s">
        <v>190</v>
      </c>
      <c r="B25" s="128"/>
      <c r="C25" s="128"/>
      <c r="D25" s="122"/>
      <c r="E25" s="41"/>
      <c r="F25" s="41"/>
      <c r="G25" s="28"/>
    </row>
    <row r="26" spans="1:8" s="133" customFormat="1" ht="15.75">
      <c r="A26" s="126" t="s">
        <v>304</v>
      </c>
      <c r="B26" s="128"/>
      <c r="C26" s="128"/>
      <c r="D26" s="122"/>
      <c r="E26" s="132"/>
      <c r="F26" s="132"/>
    </row>
    <row r="27" spans="1:8" ht="15.75">
      <c r="A27" s="126" t="s">
        <v>195</v>
      </c>
      <c r="B27" s="128"/>
      <c r="C27" s="128"/>
      <c r="D27" s="122"/>
      <c r="E27" s="41"/>
      <c r="F27" s="41"/>
    </row>
    <row r="28" spans="1:8" ht="15.75">
      <c r="A28" s="126" t="s">
        <v>14</v>
      </c>
      <c r="B28" s="128"/>
      <c r="C28" s="128">
        <f>+ESF.SNS!W43</f>
        <v>2525687</v>
      </c>
      <c r="D28" s="122"/>
      <c r="E28" s="41"/>
      <c r="F28" s="41"/>
    </row>
    <row r="29" spans="1:8" s="9" customFormat="1" ht="15.75">
      <c r="A29" s="134" t="s">
        <v>263</v>
      </c>
      <c r="B29" s="124"/>
      <c r="C29" s="124"/>
      <c r="D29" s="135"/>
      <c r="E29" s="136"/>
      <c r="F29" s="136"/>
    </row>
    <row r="30" spans="1:8" ht="15.75">
      <c r="A30" s="137" t="s">
        <v>67</v>
      </c>
      <c r="B30" s="130"/>
      <c r="C30" s="128">
        <f>9180000+756700+764700+756700</f>
        <v>11458100</v>
      </c>
      <c r="D30" s="122"/>
      <c r="E30" s="41"/>
      <c r="F30" s="41"/>
      <c r="G30" s="2" t="s">
        <v>305</v>
      </c>
      <c r="H30" s="2" t="s">
        <v>306</v>
      </c>
    </row>
    <row r="31" spans="1:8" ht="15.75">
      <c r="A31" s="137" t="s">
        <v>68</v>
      </c>
      <c r="B31" s="130"/>
      <c r="C31" s="128">
        <f>838698+79837.7+79837.7+79837.7+79837.7</f>
        <v>1158048.7999999998</v>
      </c>
      <c r="D31" s="122"/>
      <c r="E31" s="41"/>
      <c r="F31" s="41"/>
      <c r="G31" s="2" t="s">
        <v>305</v>
      </c>
    </row>
    <row r="32" spans="1:8" ht="15.75">
      <c r="A32" s="138" t="s">
        <v>69</v>
      </c>
      <c r="B32" s="130"/>
      <c r="C32" s="128"/>
      <c r="D32" s="122"/>
      <c r="E32" s="41"/>
      <c r="F32" s="41"/>
      <c r="G32" s="2" t="s">
        <v>305</v>
      </c>
    </row>
    <row r="33" spans="1:8" ht="15.75">
      <c r="A33" s="138" t="s">
        <v>70</v>
      </c>
      <c r="B33" s="130"/>
      <c r="C33" s="128">
        <f>255172.04*12</f>
        <v>3062064.48</v>
      </c>
      <c r="D33" s="122"/>
      <c r="E33" s="41"/>
      <c r="F33" s="41"/>
      <c r="G33" s="2" t="s">
        <v>305</v>
      </c>
      <c r="H33" s="129"/>
    </row>
    <row r="34" spans="1:8" ht="15.75">
      <c r="A34" s="137" t="s">
        <v>71</v>
      </c>
      <c r="B34" s="130"/>
      <c r="C34" s="128">
        <v>921739.36</v>
      </c>
      <c r="D34" s="122"/>
      <c r="E34" s="41"/>
      <c r="F34" s="41"/>
      <c r="G34" s="2" t="s">
        <v>305</v>
      </c>
      <c r="H34" s="129" t="s">
        <v>307</v>
      </c>
    </row>
    <row r="35" spans="1:8" ht="15.75">
      <c r="A35" s="137" t="s">
        <v>72</v>
      </c>
      <c r="B35" s="130"/>
      <c r="C35" s="128"/>
      <c r="D35" s="122"/>
      <c r="E35" s="41"/>
      <c r="F35" s="41"/>
      <c r="G35" s="2" t="s">
        <v>305</v>
      </c>
      <c r="H35" s="129"/>
    </row>
    <row r="36" spans="1:8" ht="15.75">
      <c r="A36" s="137" t="s">
        <v>73</v>
      </c>
      <c r="B36" s="130"/>
      <c r="C36" s="130">
        <v>4140481</v>
      </c>
      <c r="D36" s="122"/>
      <c r="E36" s="41"/>
      <c r="F36" s="41"/>
      <c r="G36" s="2" t="s">
        <v>305</v>
      </c>
      <c r="H36" s="129" t="s">
        <v>308</v>
      </c>
    </row>
    <row r="37" spans="1:8" ht="15.75">
      <c r="A37" s="134" t="s">
        <v>309</v>
      </c>
      <c r="B37" s="130"/>
      <c r="C37" s="128"/>
      <c r="D37" s="122"/>
      <c r="E37" s="41"/>
      <c r="F37" s="41"/>
      <c r="G37" s="2" t="s">
        <v>305</v>
      </c>
      <c r="H37" s="129"/>
    </row>
    <row r="38" spans="1:8" ht="15.75">
      <c r="A38" s="138" t="s">
        <v>74</v>
      </c>
      <c r="B38" s="130"/>
      <c r="C38" s="130">
        <f>2347004+251895.1+280187.85+387056.36+14614.67+16922.01</f>
        <v>3297679.9899999998</v>
      </c>
      <c r="D38" s="42"/>
      <c r="E38" s="41"/>
      <c r="F38" s="41"/>
      <c r="G38" s="2" t="s">
        <v>305</v>
      </c>
      <c r="H38" s="129"/>
    </row>
    <row r="39" spans="1:8" ht="15.75">
      <c r="A39" s="138" t="s">
        <v>79</v>
      </c>
      <c r="B39" s="130"/>
      <c r="C39" s="130"/>
      <c r="D39" s="42"/>
      <c r="E39" s="41"/>
      <c r="F39" s="41"/>
      <c r="G39" s="2" t="s">
        <v>305</v>
      </c>
      <c r="H39" s="129"/>
    </row>
    <row r="40" spans="1:8" ht="15.75">
      <c r="A40" s="138" t="s">
        <v>80</v>
      </c>
      <c r="B40" s="130"/>
      <c r="C40" s="130"/>
      <c r="D40" s="42"/>
      <c r="E40" s="41"/>
      <c r="F40" s="41"/>
      <c r="G40" s="2" t="s">
        <v>305</v>
      </c>
      <c r="H40" s="129"/>
    </row>
    <row r="41" spans="1:8" ht="15.75">
      <c r="A41" s="137" t="s">
        <v>75</v>
      </c>
      <c r="B41" s="130"/>
      <c r="C41" s="128"/>
      <c r="D41" s="122"/>
      <c r="E41" s="41"/>
      <c r="F41" s="41"/>
      <c r="G41" s="2" t="s">
        <v>305</v>
      </c>
      <c r="H41" s="129"/>
    </row>
    <row r="42" spans="1:8" ht="15.75">
      <c r="A42" s="137" t="s">
        <v>76</v>
      </c>
      <c r="B42" s="130"/>
      <c r="C42" s="128"/>
      <c r="D42" s="122"/>
      <c r="E42" s="41"/>
      <c r="F42" s="41"/>
      <c r="G42" s="2" t="s">
        <v>305</v>
      </c>
      <c r="H42" s="129"/>
    </row>
    <row r="43" spans="1:8" ht="15.75">
      <c r="A43" s="137" t="s">
        <v>77</v>
      </c>
      <c r="B43" s="130"/>
      <c r="C43" s="128"/>
      <c r="D43" s="122"/>
      <c r="E43" s="41"/>
      <c r="F43" s="41"/>
      <c r="G43" s="2" t="s">
        <v>305</v>
      </c>
      <c r="H43" s="129"/>
    </row>
    <row r="44" spans="1:8" ht="15.75">
      <c r="A44" s="137" t="s">
        <v>78</v>
      </c>
      <c r="B44" s="130"/>
      <c r="C44" s="128"/>
      <c r="D44" s="122"/>
      <c r="E44" s="41"/>
      <c r="F44" s="41"/>
      <c r="G44" s="2" t="s">
        <v>305</v>
      </c>
    </row>
    <row r="45" spans="1:8" ht="31.5">
      <c r="A45" s="139" t="s">
        <v>81</v>
      </c>
      <c r="B45" s="130"/>
      <c r="C45" s="128"/>
      <c r="D45" s="122"/>
      <c r="E45" s="41"/>
      <c r="F45" s="41"/>
      <c r="G45" s="2" t="s">
        <v>305</v>
      </c>
    </row>
    <row r="46" spans="1:8" ht="15.75">
      <c r="A46" s="137" t="s">
        <v>82</v>
      </c>
      <c r="B46" s="130"/>
      <c r="C46" s="128"/>
      <c r="D46" s="122"/>
      <c r="E46" s="41"/>
      <c r="F46" s="41"/>
      <c r="G46" s="2" t="s">
        <v>305</v>
      </c>
    </row>
    <row r="47" spans="1:8" ht="15.75">
      <c r="A47" s="140" t="s">
        <v>83</v>
      </c>
      <c r="B47" s="128"/>
      <c r="C47" s="128"/>
      <c r="D47" s="122"/>
      <c r="E47" s="41"/>
      <c r="F47" s="41"/>
      <c r="G47" s="2" t="s">
        <v>305</v>
      </c>
    </row>
    <row r="48" spans="1:8" ht="15.75">
      <c r="A48" s="137" t="s">
        <v>84</v>
      </c>
      <c r="B48" s="128"/>
      <c r="C48" s="128"/>
      <c r="D48" s="122"/>
      <c r="E48" s="41"/>
      <c r="F48" s="41"/>
      <c r="G48" s="2" t="s">
        <v>305</v>
      </c>
    </row>
    <row r="49" spans="1:8" ht="31.5">
      <c r="A49" s="141" t="s">
        <v>310</v>
      </c>
      <c r="B49" s="130"/>
      <c r="C49" s="128"/>
      <c r="D49" s="122"/>
      <c r="E49" s="41"/>
      <c r="F49" s="41"/>
      <c r="G49" s="2" t="s">
        <v>305</v>
      </c>
    </row>
    <row r="50" spans="1:8" ht="15.75">
      <c r="A50" s="137" t="s">
        <v>85</v>
      </c>
      <c r="B50" s="130"/>
      <c r="C50" s="128"/>
      <c r="D50" s="122"/>
      <c r="E50" s="41"/>
      <c r="F50" s="41"/>
      <c r="G50" s="2" t="s">
        <v>305</v>
      </c>
    </row>
    <row r="51" spans="1:8" ht="15.75">
      <c r="A51" s="137" t="s">
        <v>86</v>
      </c>
      <c r="B51" s="130"/>
      <c r="C51" s="128"/>
      <c r="D51" s="122"/>
      <c r="E51" s="41"/>
      <c r="F51" s="41"/>
      <c r="G51" s="2" t="s">
        <v>305</v>
      </c>
    </row>
    <row r="52" spans="1:8" ht="15.75">
      <c r="A52" s="137" t="s">
        <v>87</v>
      </c>
      <c r="B52" s="142"/>
      <c r="C52" s="128"/>
      <c r="D52" s="122"/>
      <c r="E52" s="41"/>
      <c r="F52" s="41"/>
      <c r="G52" s="2" t="s">
        <v>305</v>
      </c>
    </row>
    <row r="53" spans="1:8" ht="15.75">
      <c r="A53" s="134" t="s">
        <v>311</v>
      </c>
      <c r="B53" s="142"/>
      <c r="C53" s="128"/>
      <c r="D53" s="122"/>
      <c r="E53" s="41"/>
      <c r="F53" s="41"/>
      <c r="G53" s="2" t="s">
        <v>305</v>
      </c>
    </row>
    <row r="54" spans="1:8" ht="15.75">
      <c r="A54" s="134" t="s">
        <v>312</v>
      </c>
      <c r="B54" s="142"/>
      <c r="C54" s="128"/>
      <c r="D54" s="122"/>
      <c r="E54" s="41"/>
      <c r="F54" s="41"/>
      <c r="G54" s="2" t="s">
        <v>305</v>
      </c>
    </row>
    <row r="55" spans="1:8" ht="15.75">
      <c r="A55" s="137" t="s">
        <v>88</v>
      </c>
      <c r="B55" s="142"/>
      <c r="C55" s="128"/>
      <c r="D55" s="122"/>
      <c r="E55" s="41"/>
      <c r="F55" s="41"/>
    </row>
    <row r="56" spans="1:8" ht="15.75">
      <c r="A56" s="137" t="s">
        <v>89</v>
      </c>
      <c r="B56" s="142">
        <v>0</v>
      </c>
      <c r="C56" s="142">
        <f>205399.75*12</f>
        <v>2464797</v>
      </c>
      <c r="D56" s="122"/>
      <c r="E56" s="41"/>
      <c r="F56" s="41"/>
      <c r="H56" s="2" t="s">
        <v>313</v>
      </c>
    </row>
    <row r="57" spans="1:8" ht="15.75">
      <c r="A57" s="137" t="s">
        <v>90</v>
      </c>
      <c r="B57" s="142"/>
      <c r="C57" s="142"/>
      <c r="D57" s="122"/>
      <c r="E57" s="41"/>
      <c r="F57" s="41"/>
    </row>
    <row r="58" spans="1:8" ht="15.75">
      <c r="A58" s="137" t="s">
        <v>91</v>
      </c>
      <c r="B58" s="142">
        <v>0</v>
      </c>
      <c r="C58" s="142">
        <v>0</v>
      </c>
      <c r="D58" s="122"/>
      <c r="E58" s="41"/>
      <c r="F58" s="41"/>
    </row>
    <row r="59" spans="1:8" ht="15.75">
      <c r="A59" s="137" t="s">
        <v>92</v>
      </c>
      <c r="B59" s="142">
        <v>0</v>
      </c>
      <c r="C59" s="142">
        <v>0</v>
      </c>
      <c r="D59" s="122"/>
      <c r="E59" s="41"/>
      <c r="F59" s="41"/>
    </row>
    <row r="60" spans="1:8" ht="15.75">
      <c r="A60" s="138" t="s">
        <v>93</v>
      </c>
      <c r="B60" s="142">
        <v>0</v>
      </c>
      <c r="C60" s="142">
        <f>8592*11</f>
        <v>94512</v>
      </c>
      <c r="D60" s="122"/>
      <c r="E60" s="41"/>
      <c r="F60" s="41"/>
    </row>
    <row r="61" spans="1:8" ht="15.75">
      <c r="A61" s="138" t="s">
        <v>121</v>
      </c>
      <c r="B61" s="142"/>
      <c r="C61" s="142"/>
      <c r="D61" s="122"/>
      <c r="E61" s="41"/>
      <c r="F61" s="41"/>
    </row>
    <row r="62" spans="1:8" ht="15.75">
      <c r="A62" s="134" t="s">
        <v>314</v>
      </c>
      <c r="B62" s="142"/>
      <c r="C62" s="142"/>
      <c r="D62" s="122"/>
      <c r="E62" s="41"/>
      <c r="F62" s="41"/>
    </row>
    <row r="63" spans="1:8" ht="15.75">
      <c r="A63" s="137" t="s">
        <v>94</v>
      </c>
      <c r="B63" s="142">
        <v>0</v>
      </c>
      <c r="C63" s="142">
        <v>0</v>
      </c>
      <c r="D63" s="122"/>
      <c r="E63" s="41"/>
      <c r="F63" s="41"/>
    </row>
    <row r="64" spans="1:8" ht="15.75">
      <c r="A64" s="137" t="s">
        <v>95</v>
      </c>
      <c r="B64" s="142">
        <v>0</v>
      </c>
      <c r="C64" s="142">
        <v>0</v>
      </c>
      <c r="D64" s="122"/>
      <c r="E64" s="41"/>
      <c r="F64" s="41"/>
    </row>
    <row r="65" spans="1:6" ht="15.75">
      <c r="A65" s="134" t="s">
        <v>315</v>
      </c>
      <c r="B65" s="142"/>
      <c r="C65" s="142"/>
      <c r="D65" s="122"/>
      <c r="E65" s="41"/>
      <c r="F65" s="41"/>
    </row>
    <row r="66" spans="1:6" ht="15.75">
      <c r="A66" s="137" t="s">
        <v>96</v>
      </c>
      <c r="B66" s="142">
        <v>0</v>
      </c>
      <c r="C66" s="142">
        <f>80000*9</f>
        <v>720000</v>
      </c>
      <c r="D66" s="122"/>
      <c r="E66" s="41"/>
      <c r="F66" s="41"/>
    </row>
    <row r="67" spans="1:6" ht="15.75">
      <c r="A67" s="137" t="s">
        <v>97</v>
      </c>
      <c r="B67" s="142"/>
      <c r="C67" s="142"/>
      <c r="D67" s="122"/>
      <c r="E67" s="41"/>
      <c r="F67" s="41"/>
    </row>
    <row r="68" spans="1:6" ht="15.75">
      <c r="A68" s="134" t="s">
        <v>316</v>
      </c>
      <c r="B68" s="142"/>
      <c r="C68" s="142"/>
      <c r="D68" s="122"/>
      <c r="E68" s="41"/>
      <c r="F68" s="41"/>
    </row>
    <row r="69" spans="1:6" ht="15.75">
      <c r="A69" s="137" t="s">
        <v>98</v>
      </c>
      <c r="B69" s="142">
        <v>0</v>
      </c>
      <c r="C69" s="142">
        <v>0</v>
      </c>
      <c r="D69" s="122"/>
      <c r="E69" s="41"/>
      <c r="F69" s="41"/>
    </row>
    <row r="70" spans="1:6" ht="15.75">
      <c r="A70" s="137" t="s">
        <v>99</v>
      </c>
      <c r="B70" s="142">
        <v>0</v>
      </c>
      <c r="C70" s="142">
        <v>0</v>
      </c>
      <c r="D70" s="122"/>
      <c r="E70" s="41"/>
      <c r="F70" s="41"/>
    </row>
    <row r="71" spans="1:6" ht="15.75">
      <c r="A71" s="137" t="s">
        <v>100</v>
      </c>
      <c r="B71" s="142"/>
      <c r="C71" s="142"/>
      <c r="D71" s="122"/>
      <c r="E71" s="41"/>
      <c r="F71" s="41"/>
    </row>
    <row r="72" spans="1:6" ht="15.75">
      <c r="A72" s="137" t="s">
        <v>101</v>
      </c>
      <c r="B72" s="142">
        <v>0</v>
      </c>
      <c r="C72" s="142">
        <v>0</v>
      </c>
      <c r="D72" s="122"/>
      <c r="E72" s="41"/>
      <c r="F72" s="41"/>
    </row>
    <row r="73" spans="1:6" ht="15.75">
      <c r="A73" s="134" t="s">
        <v>317</v>
      </c>
      <c r="B73" s="142"/>
      <c r="C73" s="142"/>
      <c r="D73" s="122"/>
      <c r="E73" s="41"/>
      <c r="F73" s="41"/>
    </row>
    <row r="74" spans="1:6" ht="15.75">
      <c r="A74" s="137" t="s">
        <v>102</v>
      </c>
      <c r="B74" s="142"/>
      <c r="C74" s="142"/>
      <c r="D74" s="122"/>
      <c r="E74" s="41"/>
      <c r="F74" s="41"/>
    </row>
    <row r="75" spans="1:6" ht="15.75">
      <c r="A75" s="137" t="s">
        <v>103</v>
      </c>
      <c r="B75" s="142"/>
      <c r="C75" s="142"/>
      <c r="D75" s="122"/>
      <c r="E75" s="41"/>
      <c r="F75" s="41"/>
    </row>
    <row r="76" spans="1:6" ht="15.75">
      <c r="A76" s="137" t="s">
        <v>104</v>
      </c>
      <c r="B76" s="142">
        <v>0</v>
      </c>
      <c r="C76" s="142">
        <v>0</v>
      </c>
      <c r="D76" s="122"/>
      <c r="E76" s="41"/>
      <c r="F76" s="41"/>
    </row>
    <row r="77" spans="1:6" ht="15.75">
      <c r="A77" s="137" t="s">
        <v>257</v>
      </c>
      <c r="B77" s="142"/>
      <c r="C77" s="142">
        <v>0</v>
      </c>
      <c r="D77" s="122"/>
      <c r="E77" s="41"/>
      <c r="F77" s="41"/>
    </row>
    <row r="78" spans="1:6" ht="15.75">
      <c r="A78" s="137" t="s">
        <v>105</v>
      </c>
      <c r="B78" s="142"/>
      <c r="C78" s="142"/>
      <c r="D78" s="122"/>
      <c r="E78" s="41"/>
      <c r="F78" s="41"/>
    </row>
    <row r="79" spans="1:6" ht="15.75">
      <c r="A79" s="137" t="s">
        <v>106</v>
      </c>
      <c r="B79" s="142"/>
      <c r="C79" s="142">
        <v>0</v>
      </c>
      <c r="D79" s="122"/>
      <c r="E79" s="41"/>
      <c r="F79" s="41"/>
    </row>
    <row r="80" spans="1:6" ht="15.75">
      <c r="A80" s="134" t="s">
        <v>318</v>
      </c>
      <c r="B80" s="142"/>
      <c r="C80" s="142"/>
      <c r="D80" s="122"/>
      <c r="E80" s="41"/>
      <c r="F80" s="41"/>
    </row>
    <row r="81" spans="1:8" ht="15.75">
      <c r="A81" s="137" t="s">
        <v>107</v>
      </c>
      <c r="B81" s="142"/>
      <c r="C81" s="142"/>
      <c r="D81" s="122"/>
      <c r="E81" s="41"/>
      <c r="F81" s="41"/>
    </row>
    <row r="82" spans="1:8" ht="15.75">
      <c r="A82" s="126" t="s">
        <v>319</v>
      </c>
      <c r="B82" s="142"/>
      <c r="C82" s="142"/>
      <c r="D82" s="122"/>
      <c r="E82" s="41"/>
      <c r="F82" s="41"/>
    </row>
    <row r="83" spans="1:8" ht="15.75">
      <c r="A83" s="134" t="s">
        <v>320</v>
      </c>
      <c r="B83" s="142"/>
      <c r="C83" s="142"/>
      <c r="D83" s="122"/>
      <c r="E83" s="41"/>
      <c r="F83" s="41"/>
    </row>
    <row r="84" spans="1:8" ht="15.75">
      <c r="A84" s="138" t="s">
        <v>108</v>
      </c>
      <c r="B84" s="142"/>
      <c r="C84" s="142">
        <v>0</v>
      </c>
      <c r="D84" s="42"/>
      <c r="E84" s="41"/>
      <c r="F84" s="41"/>
    </row>
    <row r="85" spans="1:8" ht="15.75">
      <c r="A85" s="143" t="s">
        <v>262</v>
      </c>
      <c r="B85" s="142"/>
      <c r="C85" s="142">
        <v>0</v>
      </c>
      <c r="D85" s="42"/>
      <c r="E85" s="41"/>
      <c r="F85" s="41"/>
    </row>
    <row r="86" spans="1:8" ht="15.75">
      <c r="A86" s="137" t="s">
        <v>109</v>
      </c>
      <c r="B86" s="142"/>
      <c r="C86" s="142">
        <f>5599496+496689.12+444356.5+432703.2</f>
        <v>6973244.8200000003</v>
      </c>
      <c r="D86" s="122"/>
      <c r="E86" s="41"/>
      <c r="F86" s="41"/>
      <c r="H86" s="2" t="s">
        <v>321</v>
      </c>
    </row>
    <row r="87" spans="1:8" ht="31.5">
      <c r="A87" s="139" t="s">
        <v>258</v>
      </c>
      <c r="B87" s="142"/>
      <c r="C87" s="142"/>
      <c r="D87" s="122"/>
      <c r="E87" s="41"/>
      <c r="F87" s="41"/>
    </row>
    <row r="88" spans="1:8" ht="31.5">
      <c r="A88" s="139" t="s">
        <v>110</v>
      </c>
      <c r="B88" s="142"/>
      <c r="C88" s="142"/>
      <c r="D88" s="122"/>
      <c r="E88" s="41"/>
      <c r="F88" s="41"/>
    </row>
    <row r="89" spans="1:8" ht="15.75">
      <c r="A89" s="137" t="s">
        <v>111</v>
      </c>
      <c r="B89" s="142"/>
      <c r="C89" s="142"/>
      <c r="D89" s="122"/>
      <c r="E89" s="41"/>
      <c r="F89" s="41"/>
    </row>
    <row r="90" spans="1:8" ht="15.75">
      <c r="A90" s="137" t="s">
        <v>112</v>
      </c>
      <c r="B90" s="142"/>
      <c r="C90" s="142"/>
      <c r="D90" s="122"/>
      <c r="E90" s="41"/>
      <c r="F90" s="41"/>
    </row>
    <row r="91" spans="1:8" ht="15.75">
      <c r="A91" s="144" t="s">
        <v>259</v>
      </c>
      <c r="B91" s="142"/>
      <c r="C91" s="142"/>
      <c r="D91" s="122"/>
      <c r="E91" s="41"/>
      <c r="F91" s="41"/>
    </row>
    <row r="92" spans="1:8" ht="31.5">
      <c r="A92" s="139" t="s">
        <v>113</v>
      </c>
      <c r="B92" s="142"/>
      <c r="C92" s="142">
        <v>5139493</v>
      </c>
      <c r="D92" s="122"/>
      <c r="E92" s="41"/>
      <c r="F92" s="41"/>
    </row>
    <row r="93" spans="1:8" ht="21.75" customHeight="1">
      <c r="A93" s="137" t="s">
        <v>322</v>
      </c>
      <c r="B93" s="142"/>
      <c r="C93" s="142">
        <v>0</v>
      </c>
      <c r="D93" s="122"/>
      <c r="E93" s="41"/>
      <c r="F93" s="41"/>
    </row>
    <row r="94" spans="1:8" ht="15.75">
      <c r="A94" s="137" t="s">
        <v>323</v>
      </c>
      <c r="B94" s="142"/>
      <c r="C94" s="142"/>
      <c r="D94" s="122"/>
      <c r="E94" s="41"/>
      <c r="F94" s="41"/>
    </row>
    <row r="95" spans="1:8" ht="15.75">
      <c r="A95" s="138" t="s">
        <v>324</v>
      </c>
      <c r="B95" s="142"/>
      <c r="C95" s="142"/>
      <c r="D95" s="122"/>
      <c r="E95" s="41"/>
      <c r="F95" s="41"/>
    </row>
    <row r="96" spans="1:8" ht="15.75">
      <c r="A96" s="138" t="s">
        <v>325</v>
      </c>
      <c r="B96" s="142"/>
      <c r="C96" s="142"/>
      <c r="D96" s="122"/>
      <c r="E96" s="41"/>
      <c r="F96" s="41"/>
    </row>
    <row r="97" spans="1:8" ht="31.5">
      <c r="A97" s="139" t="s">
        <v>114</v>
      </c>
      <c r="B97" s="142"/>
      <c r="C97" s="142">
        <v>0</v>
      </c>
      <c r="D97" s="122"/>
      <c r="E97" s="41"/>
      <c r="F97" s="41"/>
    </row>
    <row r="98" spans="1:8" ht="15.75">
      <c r="A98" s="134" t="s">
        <v>326</v>
      </c>
      <c r="B98" s="142"/>
      <c r="C98" s="142"/>
      <c r="D98" s="122"/>
      <c r="E98" s="41"/>
      <c r="F98" s="41"/>
    </row>
    <row r="99" spans="1:8" ht="15.75">
      <c r="A99" s="137" t="s">
        <v>179</v>
      </c>
      <c r="B99" s="142"/>
      <c r="C99" s="142"/>
      <c r="D99" s="122"/>
      <c r="E99" s="41"/>
      <c r="F99" s="41"/>
    </row>
    <row r="100" spans="1:8" ht="15.75">
      <c r="A100" s="137" t="s">
        <v>116</v>
      </c>
      <c r="B100" s="142"/>
      <c r="C100" s="142"/>
      <c r="D100" s="122"/>
      <c r="E100" s="41"/>
      <c r="F100" s="41"/>
    </row>
    <row r="101" spans="1:8" ht="15.75">
      <c r="A101" s="137" t="s">
        <v>117</v>
      </c>
      <c r="B101" s="142"/>
      <c r="C101" s="142">
        <f>71190*18</f>
        <v>1281420</v>
      </c>
      <c r="D101" s="122"/>
      <c r="E101" s="41"/>
      <c r="F101" s="41"/>
    </row>
    <row r="102" spans="1:8" ht="15.75">
      <c r="A102" s="137" t="s">
        <v>118</v>
      </c>
      <c r="B102" s="142"/>
      <c r="C102" s="142"/>
      <c r="D102" s="122"/>
      <c r="E102" s="41"/>
      <c r="F102" s="41"/>
    </row>
    <row r="103" spans="1:8" ht="15.75">
      <c r="A103" s="137" t="s">
        <v>119</v>
      </c>
      <c r="B103" s="142"/>
      <c r="C103" s="142">
        <f>1140517+172325</f>
        <v>1312842</v>
      </c>
      <c r="D103" s="122"/>
      <c r="E103" s="41"/>
      <c r="F103" s="41"/>
    </row>
    <row r="104" spans="1:8" ht="15.75">
      <c r="A104" s="137" t="s">
        <v>120</v>
      </c>
      <c r="B104" s="142"/>
      <c r="C104" s="142"/>
      <c r="D104" s="122"/>
      <c r="E104" s="41"/>
      <c r="F104" s="41"/>
    </row>
    <row r="105" spans="1:8" ht="15.75">
      <c r="A105" s="145" t="s">
        <v>260</v>
      </c>
      <c r="B105" s="142"/>
      <c r="C105" s="142"/>
      <c r="D105" s="122"/>
      <c r="E105" s="41"/>
      <c r="F105" s="41"/>
    </row>
    <row r="106" spans="1:8" ht="15.75">
      <c r="A106" s="137" t="s">
        <v>122</v>
      </c>
      <c r="B106" s="142"/>
      <c r="C106" s="142"/>
      <c r="D106" s="122"/>
      <c r="E106" s="41"/>
      <c r="F106" s="41"/>
    </row>
    <row r="107" spans="1:8" ht="15.75">
      <c r="A107" s="137" t="s">
        <v>123</v>
      </c>
      <c r="B107" s="127"/>
      <c r="C107" s="127"/>
      <c r="D107" s="122"/>
      <c r="E107" s="41"/>
      <c r="F107" s="41"/>
    </row>
    <row r="108" spans="1:8" ht="15.75">
      <c r="A108" s="137" t="s">
        <v>124</v>
      </c>
      <c r="B108" s="142"/>
      <c r="C108" s="142"/>
      <c r="D108" s="122"/>
      <c r="E108" s="41"/>
      <c r="F108" s="41"/>
    </row>
    <row r="109" spans="1:8" ht="15.75">
      <c r="A109" s="137" t="s">
        <v>125</v>
      </c>
      <c r="B109" s="142"/>
      <c r="C109" s="142">
        <f>469588.91*6</f>
        <v>2817533.46</v>
      </c>
      <c r="D109" s="122"/>
      <c r="E109" s="41"/>
      <c r="F109" s="41"/>
      <c r="H109" s="2" t="s">
        <v>327</v>
      </c>
    </row>
    <row r="110" spans="1:8" ht="15.75">
      <c r="A110" s="137" t="s">
        <v>328</v>
      </c>
      <c r="B110" s="142">
        <v>0</v>
      </c>
      <c r="C110" s="142">
        <f>1568931+260129.08+70602.78+37465.6+66249.25+81923.58+331731.52</f>
        <v>2417032.8100000005</v>
      </c>
      <c r="D110" s="122"/>
      <c r="E110" s="41"/>
      <c r="F110" s="41"/>
    </row>
    <row r="111" spans="1:8" ht="15.75">
      <c r="A111" s="137" t="s">
        <v>126</v>
      </c>
      <c r="B111" s="127"/>
      <c r="C111" s="127">
        <f>187741*10</f>
        <v>1877410</v>
      </c>
      <c r="D111" s="122"/>
      <c r="E111" s="41"/>
      <c r="F111" s="41"/>
    </row>
    <row r="112" spans="1:8" ht="15.75">
      <c r="A112" s="137" t="s">
        <v>127</v>
      </c>
      <c r="B112" s="127"/>
      <c r="C112" s="127"/>
      <c r="D112" s="122"/>
      <c r="E112" s="41"/>
      <c r="F112" s="41"/>
    </row>
    <row r="113" spans="1:8" ht="15.75">
      <c r="A113" s="134" t="s">
        <v>329</v>
      </c>
      <c r="B113" s="127"/>
      <c r="C113" s="127"/>
      <c r="D113" s="122"/>
      <c r="E113" s="41"/>
      <c r="F113" s="41"/>
    </row>
    <row r="114" spans="1:8" ht="15.75">
      <c r="A114" s="134" t="s">
        <v>330</v>
      </c>
      <c r="B114" s="127"/>
      <c r="C114" s="127"/>
      <c r="D114" s="122"/>
      <c r="E114" s="41"/>
      <c r="F114" s="41"/>
    </row>
    <row r="115" spans="1:8" ht="15.75">
      <c r="A115" s="146" t="s">
        <v>129</v>
      </c>
      <c r="B115" s="142"/>
      <c r="C115" s="142">
        <f>12912439+859887.15+910880.65+1049986.25</f>
        <v>15733193.050000001</v>
      </c>
      <c r="D115" s="122"/>
      <c r="E115" s="41"/>
      <c r="F115" s="41"/>
    </row>
    <row r="116" spans="1:8" ht="15.75">
      <c r="A116" s="146" t="s">
        <v>130</v>
      </c>
      <c r="B116" s="127"/>
      <c r="C116" s="127"/>
      <c r="D116" s="122"/>
      <c r="E116" s="41"/>
      <c r="F116" s="41"/>
    </row>
    <row r="117" spans="1:8" ht="15.75">
      <c r="A117" s="134" t="s">
        <v>331</v>
      </c>
      <c r="B117" s="127"/>
      <c r="C117" s="127"/>
      <c r="D117" s="122"/>
      <c r="E117" s="41"/>
      <c r="F117" s="41"/>
    </row>
    <row r="118" spans="1:8" ht="15.75">
      <c r="A118" s="146" t="s">
        <v>132</v>
      </c>
      <c r="B118" s="127"/>
      <c r="C118" s="127"/>
      <c r="D118" s="122"/>
      <c r="E118" s="41"/>
      <c r="F118" s="41"/>
    </row>
    <row r="119" spans="1:8" ht="15.75">
      <c r="A119" s="146" t="s">
        <v>133</v>
      </c>
      <c r="B119" s="142"/>
      <c r="C119" s="142">
        <v>0</v>
      </c>
      <c r="D119" s="122"/>
      <c r="E119" s="41"/>
      <c r="F119" s="41"/>
    </row>
    <row r="120" spans="1:8" ht="15.75">
      <c r="A120" s="146" t="s">
        <v>134</v>
      </c>
      <c r="B120" s="142"/>
      <c r="C120" s="142"/>
      <c r="D120" s="122"/>
      <c r="E120" s="41"/>
      <c r="F120" s="41"/>
    </row>
    <row r="121" spans="1:8" ht="15.75">
      <c r="A121" s="134" t="s">
        <v>332</v>
      </c>
      <c r="B121" s="127"/>
      <c r="C121" s="127"/>
      <c r="D121" s="122"/>
      <c r="E121" s="41"/>
      <c r="F121" s="41"/>
    </row>
    <row r="122" spans="1:8" ht="15.75">
      <c r="A122" s="146" t="s">
        <v>135</v>
      </c>
      <c r="B122" s="142"/>
      <c r="C122" s="142">
        <v>0</v>
      </c>
      <c r="D122" s="122"/>
      <c r="E122" s="41"/>
      <c r="F122" s="41"/>
    </row>
    <row r="123" spans="1:8" ht="15.75">
      <c r="A123" s="146" t="s">
        <v>136</v>
      </c>
      <c r="B123" s="142">
        <v>0</v>
      </c>
      <c r="C123" s="142">
        <v>0</v>
      </c>
      <c r="D123" s="122"/>
      <c r="E123" s="41"/>
      <c r="F123" s="41"/>
    </row>
    <row r="124" spans="1:8" ht="15.75">
      <c r="A124" s="146" t="s">
        <v>137</v>
      </c>
      <c r="B124" s="127"/>
      <c r="C124" s="127"/>
      <c r="D124" s="122"/>
      <c r="E124" s="41"/>
      <c r="F124" s="41"/>
    </row>
    <row r="125" spans="1:8" ht="15.75">
      <c r="A125" s="146" t="s">
        <v>138</v>
      </c>
      <c r="B125" s="142"/>
      <c r="C125" s="142">
        <f>6613405+1103450.42+1498425.38</f>
        <v>9215280.8000000007</v>
      </c>
      <c r="D125" s="122"/>
      <c r="E125" s="41"/>
      <c r="F125" s="41"/>
      <c r="H125" s="2" t="s">
        <v>333</v>
      </c>
    </row>
    <row r="126" spans="1:8" ht="15.75">
      <c r="A126" s="134" t="s">
        <v>334</v>
      </c>
      <c r="B126" s="127"/>
      <c r="C126" s="127"/>
      <c r="D126" s="122"/>
      <c r="E126" s="41"/>
      <c r="F126" s="41"/>
    </row>
    <row r="127" spans="1:8" ht="15.75">
      <c r="A127" s="146" t="s">
        <v>139</v>
      </c>
      <c r="B127" s="127"/>
      <c r="C127" s="127"/>
      <c r="D127" s="122"/>
      <c r="E127" s="41"/>
      <c r="F127" s="41"/>
    </row>
    <row r="128" spans="1:8" ht="15.75">
      <c r="A128" s="146" t="s">
        <v>140</v>
      </c>
      <c r="B128" s="127"/>
      <c r="C128" s="127"/>
      <c r="D128" s="122"/>
      <c r="E128" s="41"/>
      <c r="F128" s="41"/>
    </row>
    <row r="129" spans="1:6" ht="15.75">
      <c r="A129" s="146" t="s">
        <v>141</v>
      </c>
      <c r="B129" s="142"/>
      <c r="C129" s="142">
        <v>0</v>
      </c>
      <c r="D129" s="122"/>
      <c r="E129" s="41"/>
      <c r="F129" s="41"/>
    </row>
    <row r="130" spans="1:6" ht="15.75">
      <c r="A130" s="146" t="s">
        <v>142</v>
      </c>
      <c r="B130" s="127"/>
      <c r="C130" s="127"/>
      <c r="D130" s="122"/>
      <c r="E130" s="41"/>
      <c r="F130" s="41"/>
    </row>
    <row r="131" spans="1:6" ht="15.75">
      <c r="A131" s="146" t="s">
        <v>143</v>
      </c>
      <c r="B131" s="127"/>
      <c r="C131" s="127"/>
      <c r="D131" s="122"/>
      <c r="E131" s="41"/>
      <c r="F131" s="41"/>
    </row>
    <row r="132" spans="1:6" ht="15.75">
      <c r="A132" s="134" t="s">
        <v>335</v>
      </c>
      <c r="B132" s="127"/>
      <c r="C132" s="127"/>
      <c r="D132" s="122"/>
      <c r="E132" s="41"/>
      <c r="F132" s="41"/>
    </row>
    <row r="133" spans="1:6" ht="15.75">
      <c r="A133" s="146" t="s">
        <v>144</v>
      </c>
      <c r="B133" s="127"/>
      <c r="C133" s="127"/>
      <c r="D133" s="122"/>
      <c r="E133" s="41"/>
      <c r="F133" s="41"/>
    </row>
    <row r="134" spans="1:6" ht="15.75">
      <c r="A134" s="146" t="s">
        <v>145</v>
      </c>
      <c r="B134" s="127"/>
      <c r="C134" s="127"/>
      <c r="D134" s="122"/>
      <c r="E134" s="41"/>
      <c r="F134" s="41"/>
    </row>
    <row r="135" spans="1:6" ht="15.75">
      <c r="A135" s="146" t="s">
        <v>261</v>
      </c>
      <c r="B135" s="127"/>
      <c r="C135" s="127"/>
      <c r="D135" s="122"/>
      <c r="E135" s="41"/>
      <c r="F135" s="41"/>
    </row>
    <row r="136" spans="1:6" ht="15.75">
      <c r="A136" s="146" t="s">
        <v>146</v>
      </c>
      <c r="B136" s="127"/>
      <c r="C136" s="127"/>
      <c r="D136" s="122"/>
      <c r="E136" s="41"/>
      <c r="F136" s="41"/>
    </row>
    <row r="137" spans="1:6" ht="15.75">
      <c r="A137" s="146" t="s">
        <v>147</v>
      </c>
      <c r="B137" s="127"/>
      <c r="C137" s="127"/>
      <c r="D137" s="122"/>
      <c r="E137" s="41"/>
      <c r="F137" s="41"/>
    </row>
    <row r="138" spans="1:6" ht="15.75">
      <c r="A138" s="146" t="s">
        <v>148</v>
      </c>
      <c r="B138" s="127"/>
      <c r="C138" s="127"/>
      <c r="D138" s="122"/>
      <c r="E138" s="41"/>
      <c r="F138" s="41"/>
    </row>
    <row r="139" spans="1:6" ht="15.75">
      <c r="A139" s="146" t="s">
        <v>149</v>
      </c>
      <c r="B139" s="127"/>
      <c r="C139" s="127"/>
      <c r="D139" s="122"/>
      <c r="E139" s="41"/>
      <c r="F139" s="41"/>
    </row>
    <row r="140" spans="1:6" ht="15.75">
      <c r="A140" s="143" t="s">
        <v>282</v>
      </c>
      <c r="B140" s="142"/>
      <c r="C140" s="142"/>
      <c r="D140" s="122"/>
      <c r="E140" s="41"/>
      <c r="F140" s="41"/>
    </row>
    <row r="141" spans="1:6" ht="15.75">
      <c r="A141" s="146" t="s">
        <v>150</v>
      </c>
      <c r="B141" s="127"/>
      <c r="C141" s="127"/>
      <c r="D141" s="122"/>
      <c r="E141" s="41"/>
      <c r="F141" s="41"/>
    </row>
    <row r="142" spans="1:6" ht="15.75">
      <c r="A142" s="146" t="s">
        <v>151</v>
      </c>
      <c r="B142" s="127"/>
      <c r="C142" s="127"/>
      <c r="D142" s="122"/>
      <c r="E142" s="41"/>
      <c r="F142" s="41"/>
    </row>
    <row r="143" spans="1:6" ht="15.75">
      <c r="A143" s="146" t="s">
        <v>152</v>
      </c>
      <c r="B143" s="127"/>
      <c r="C143" s="127"/>
      <c r="D143" s="122"/>
      <c r="E143" s="41"/>
      <c r="F143" s="41"/>
    </row>
    <row r="144" spans="1:6" ht="15.75">
      <c r="A144" s="146" t="s">
        <v>153</v>
      </c>
      <c r="B144" s="127"/>
      <c r="C144" s="127"/>
      <c r="D144" s="122"/>
      <c r="E144" s="41"/>
      <c r="F144" s="41"/>
    </row>
    <row r="145" spans="1:6" ht="15.75">
      <c r="A145" s="134" t="s">
        <v>336</v>
      </c>
      <c r="B145" s="127"/>
      <c r="C145" s="127"/>
      <c r="D145" s="122"/>
      <c r="E145" s="41"/>
      <c r="F145" s="41"/>
    </row>
    <row r="146" spans="1:6" ht="15.75">
      <c r="A146" s="138" t="s">
        <v>154</v>
      </c>
      <c r="B146" s="127"/>
      <c r="C146" s="127">
        <v>1981.7</v>
      </c>
      <c r="D146" s="42"/>
      <c r="E146" s="41"/>
      <c r="F146" s="41"/>
    </row>
    <row r="147" spans="1:6" ht="15.75">
      <c r="A147" s="146" t="s">
        <v>155</v>
      </c>
      <c r="B147" s="142"/>
      <c r="C147" s="142">
        <v>0</v>
      </c>
      <c r="D147" s="122"/>
      <c r="E147" s="41"/>
      <c r="F147" s="41"/>
    </row>
    <row r="148" spans="1:6" ht="15.75">
      <c r="A148" s="146" t="s">
        <v>337</v>
      </c>
      <c r="B148" s="142"/>
      <c r="C148" s="142">
        <v>551332.5</v>
      </c>
      <c r="D148" s="122"/>
      <c r="E148" s="41"/>
      <c r="F148" s="41"/>
    </row>
    <row r="149" spans="1:6" ht="15.75">
      <c r="A149" s="146" t="s">
        <v>156</v>
      </c>
      <c r="B149" s="127"/>
      <c r="C149" s="127"/>
      <c r="D149" s="122"/>
      <c r="E149" s="41"/>
      <c r="F149" s="41"/>
    </row>
    <row r="150" spans="1:6" ht="15.75">
      <c r="A150" s="146" t="s">
        <v>157</v>
      </c>
      <c r="B150" s="127"/>
      <c r="C150" s="127"/>
      <c r="D150" s="122"/>
      <c r="E150" s="41"/>
      <c r="F150" s="41"/>
    </row>
    <row r="151" spans="1:6" ht="15.75">
      <c r="A151" s="146" t="s">
        <v>158</v>
      </c>
      <c r="B151" s="142"/>
      <c r="C151" s="142">
        <f>6919820+172890</f>
        <v>7092710</v>
      </c>
      <c r="D151" s="122"/>
      <c r="E151" s="41"/>
      <c r="F151" s="41"/>
    </row>
    <row r="152" spans="1:6" ht="15.75">
      <c r="A152" s="146" t="s">
        <v>159</v>
      </c>
      <c r="B152" s="127"/>
      <c r="C152" s="127"/>
      <c r="D152" s="122"/>
      <c r="E152" s="41"/>
      <c r="F152" s="41"/>
    </row>
    <row r="153" spans="1:6" ht="15.75">
      <c r="A153" s="146" t="s">
        <v>160</v>
      </c>
      <c r="B153" s="127"/>
      <c r="C153" s="127"/>
      <c r="D153" s="122"/>
      <c r="E153" s="41"/>
      <c r="F153" s="41"/>
    </row>
    <row r="154" spans="1:6" ht="15.75">
      <c r="A154" s="147" t="s">
        <v>338</v>
      </c>
      <c r="B154" s="127"/>
      <c r="C154" s="127"/>
      <c r="D154" s="122"/>
      <c r="E154" s="41"/>
      <c r="F154" s="41"/>
    </row>
    <row r="155" spans="1:6" ht="15.75">
      <c r="A155" s="146" t="s">
        <v>161</v>
      </c>
      <c r="B155" s="142"/>
      <c r="C155" s="142">
        <f>1140517+57065</f>
        <v>1197582</v>
      </c>
      <c r="D155" s="122"/>
      <c r="E155" s="41"/>
      <c r="F155" s="41"/>
    </row>
    <row r="156" spans="1:6" ht="15.75">
      <c r="A156" s="146" t="s">
        <v>162</v>
      </c>
      <c r="B156" s="142"/>
      <c r="C156" s="142">
        <f>+'[1]ANEXO NOTAS '!M76+'[1]ANEXO NOTAS '!N76+'[1]ANEXO NOTAS '!O76+'[1]ANEXO NOTAS '!P76+'[1]ANEXO NOTAS '!Q76+'[1]ANEXO NOTAS '!R76+'[1]ANEXO NOTAS '!T76+'[1]ANEXO NOTAS '!U76+'[1]ANEXO NOTAS '!V76</f>
        <v>3968721.31</v>
      </c>
      <c r="D156" s="122">
        <v>0</v>
      </c>
      <c r="E156" s="41"/>
      <c r="F156" s="41"/>
    </row>
    <row r="157" spans="1:6" ht="15" customHeight="1">
      <c r="A157" s="146" t="s">
        <v>339</v>
      </c>
      <c r="B157" s="127"/>
      <c r="C157" s="127"/>
      <c r="D157" s="122"/>
      <c r="E157" s="41"/>
      <c r="F157" s="41"/>
    </row>
    <row r="158" spans="1:6" ht="15" customHeight="1">
      <c r="A158" s="145" t="s">
        <v>340</v>
      </c>
      <c r="B158" s="127"/>
      <c r="C158" s="127"/>
      <c r="D158" s="122"/>
      <c r="E158" s="41"/>
      <c r="F158" s="41"/>
    </row>
    <row r="159" spans="1:6" ht="15" customHeight="1">
      <c r="A159" s="146" t="s">
        <v>163</v>
      </c>
      <c r="B159" s="142"/>
      <c r="C159" s="142">
        <f>+'[1]ANEXO NOTAS '!M77+'[1]ANEXO NOTAS '!N77+'[1]ANEXO NOTAS '!O77+'[1]ANEXO NOTAS '!P77+'[1]ANEXO NOTAS '!Q77+'[1]ANEXO NOTAS '!R77+'[1]ANEXO NOTAS '!T77+'[1]ANEXO NOTAS '!U77+'[1]ANEXO NOTAS '!V77</f>
        <v>6919820.1600000001</v>
      </c>
      <c r="D159" s="148"/>
      <c r="E159" s="41"/>
      <c r="F159" s="41"/>
    </row>
    <row r="160" spans="1:6" ht="15" customHeight="1">
      <c r="A160" s="146" t="s">
        <v>164</v>
      </c>
      <c r="B160" s="142"/>
      <c r="C160" s="142">
        <v>0</v>
      </c>
      <c r="D160" s="122"/>
      <c r="E160" s="41"/>
      <c r="F160" s="41"/>
    </row>
    <row r="161" spans="1:16" ht="15" customHeight="1">
      <c r="A161" s="146" t="s">
        <v>166</v>
      </c>
      <c r="B161" s="142"/>
      <c r="C161" s="142"/>
      <c r="D161" s="122"/>
      <c r="E161" s="41"/>
      <c r="F161" s="41"/>
    </row>
    <row r="162" spans="1:16" ht="15" customHeight="1">
      <c r="A162" s="146" t="s">
        <v>165</v>
      </c>
      <c r="B162" s="142"/>
      <c r="C162" s="142">
        <v>0</v>
      </c>
      <c r="D162" s="122"/>
      <c r="E162" s="41"/>
      <c r="F162" s="41"/>
    </row>
    <row r="163" spans="1:16" ht="15" customHeight="1">
      <c r="A163" s="146" t="s">
        <v>167</v>
      </c>
      <c r="B163" s="142"/>
      <c r="C163" s="142"/>
      <c r="D163" s="122"/>
    </row>
    <row r="164" spans="1:16" ht="19.5" customHeight="1">
      <c r="A164" s="146" t="s">
        <v>168</v>
      </c>
      <c r="B164" s="142"/>
      <c r="C164" s="142"/>
      <c r="D164" s="122"/>
    </row>
    <row r="165" spans="1:16" ht="15" customHeight="1">
      <c r="A165" s="146" t="s">
        <v>169</v>
      </c>
      <c r="B165" s="142"/>
      <c r="C165" s="142"/>
      <c r="D165" s="122"/>
    </row>
    <row r="166" spans="1:16" ht="15" customHeight="1">
      <c r="A166" s="146" t="s">
        <v>170</v>
      </c>
      <c r="B166" s="142"/>
      <c r="C166" s="142"/>
      <c r="D166" s="122"/>
    </row>
    <row r="167" spans="1:16" ht="15" customHeight="1">
      <c r="A167" s="147" t="s">
        <v>341</v>
      </c>
      <c r="B167" s="142"/>
      <c r="C167" s="142"/>
      <c r="D167" s="122"/>
    </row>
    <row r="168" spans="1:16" ht="15" customHeight="1">
      <c r="A168" s="146" t="s">
        <v>171</v>
      </c>
      <c r="B168" s="142"/>
      <c r="C168" s="142"/>
      <c r="D168" s="122"/>
    </row>
    <row r="169" spans="1:16" ht="15" customHeight="1">
      <c r="A169" s="146" t="s">
        <v>172</v>
      </c>
      <c r="B169" s="142"/>
      <c r="C169" s="142"/>
      <c r="D169" s="122"/>
    </row>
    <row r="170" spans="1:16" ht="15" customHeight="1">
      <c r="A170" s="146" t="s">
        <v>173</v>
      </c>
      <c r="B170" s="142"/>
      <c r="C170" s="142"/>
      <c r="D170" s="122"/>
    </row>
    <row r="171" spans="1:16" ht="15.75">
      <c r="A171" s="146" t="s">
        <v>174</v>
      </c>
      <c r="B171" s="142"/>
      <c r="C171" s="149">
        <v>0.51</v>
      </c>
      <c r="D171" s="122"/>
    </row>
    <row r="172" spans="1:16" ht="15" customHeight="1">
      <c r="A172" s="146" t="s">
        <v>175</v>
      </c>
      <c r="B172" s="142" t="s">
        <v>7</v>
      </c>
      <c r="C172" s="142"/>
      <c r="D172" s="122"/>
      <c r="J172" s="2">
        <v>0</v>
      </c>
    </row>
    <row r="173" spans="1:16" ht="15" customHeight="1">
      <c r="A173" s="146" t="s">
        <v>342</v>
      </c>
      <c r="B173" s="142"/>
      <c r="C173" s="142"/>
      <c r="D173" s="2"/>
      <c r="N173" s="129"/>
    </row>
    <row r="174" spans="1:16" ht="15.75">
      <c r="A174" s="146" t="s">
        <v>55</v>
      </c>
      <c r="B174" s="142">
        <f>17641583+1596627.15+4129700.09</f>
        <v>23367910.239999998</v>
      </c>
      <c r="C174" s="142"/>
      <c r="D174" s="122"/>
      <c r="N174" s="129"/>
      <c r="P174" s="129"/>
    </row>
    <row r="175" spans="1:16" ht="15.75">
      <c r="A175" s="146" t="s">
        <v>176</v>
      </c>
      <c r="B175" s="142"/>
      <c r="C175" s="142"/>
      <c r="D175" s="122"/>
      <c r="N175" s="129"/>
    </row>
    <row r="176" spans="1:16" ht="15.75">
      <c r="A176" s="150" t="s">
        <v>177</v>
      </c>
      <c r="B176" s="127">
        <v>7383735</v>
      </c>
      <c r="C176" s="127"/>
      <c r="D176" s="122"/>
    </row>
    <row r="177" spans="1:14" ht="15.75">
      <c r="A177" s="126" t="s">
        <v>178</v>
      </c>
      <c r="B177" s="142"/>
      <c r="C177" s="142"/>
      <c r="D177" s="122"/>
    </row>
    <row r="178" spans="1:14" ht="15.75">
      <c r="A178" s="150" t="s">
        <v>177</v>
      </c>
      <c r="B178" s="127"/>
      <c r="C178" s="127"/>
      <c r="D178" s="122"/>
    </row>
    <row r="179" spans="1:14" ht="15.75">
      <c r="A179" s="150" t="s">
        <v>343</v>
      </c>
      <c r="B179" s="127"/>
      <c r="C179" s="127"/>
      <c r="D179" s="122"/>
    </row>
    <row r="180" spans="1:14" ht="15.75">
      <c r="A180" s="137" t="s">
        <v>179</v>
      </c>
      <c r="B180" s="142">
        <v>0</v>
      </c>
      <c r="C180" s="142">
        <f>406284.48+4008.39+15781.25</f>
        <v>426074.12</v>
      </c>
      <c r="D180" s="122"/>
      <c r="H180" s="129"/>
    </row>
    <row r="181" spans="1:14" ht="20.25">
      <c r="A181" s="134" t="s">
        <v>344</v>
      </c>
      <c r="B181" s="151">
        <f>SUM(B15:B180)</f>
        <v>99302598.11999999</v>
      </c>
      <c r="C181" s="151">
        <f>SUM(C15:C180)</f>
        <v>99302597.87000002</v>
      </c>
      <c r="D181" s="135"/>
      <c r="G181" s="28"/>
      <c r="H181" s="129"/>
      <c r="N181" s="129"/>
    </row>
    <row r="182" spans="1:14">
      <c r="A182" s="19"/>
      <c r="B182" s="152"/>
      <c r="C182" s="153">
        <f>+B181-C181</f>
        <v>0.24999997019767761</v>
      </c>
      <c r="D182" s="122"/>
      <c r="H182" s="129"/>
    </row>
    <row r="183" spans="1:14">
      <c r="A183" s="8" t="s">
        <v>352</v>
      </c>
      <c r="B183" s="152">
        <v>0</v>
      </c>
      <c r="C183" s="152"/>
      <c r="D183" s="122"/>
    </row>
    <row r="184" spans="1:14">
      <c r="A184" s="19" t="s">
        <v>7</v>
      </c>
      <c r="B184" s="152"/>
      <c r="C184" s="152"/>
      <c r="D184" s="122"/>
    </row>
    <row r="185" spans="1:14">
      <c r="A185" s="154"/>
      <c r="B185" s="152"/>
      <c r="C185" s="152"/>
      <c r="D185" s="122"/>
    </row>
  </sheetData>
  <mergeCells count="6">
    <mergeCell ref="A12:C12"/>
    <mergeCell ref="A7:C7"/>
    <mergeCell ref="A8:C8"/>
    <mergeCell ref="A9:C9"/>
    <mergeCell ref="A10:C10"/>
    <mergeCell ref="A11:C11"/>
  </mergeCells>
  <printOptions horizontalCentered="1"/>
  <pageMargins left="0.25" right="0.25" top="0.75" bottom="0.75" header="0.3" footer="0.3"/>
  <pageSetup scale="80" orientation="portrait" r:id="rId1"/>
  <colBreaks count="1" manualBreakCount="1">
    <brk id="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5:B22"/>
  <sheetViews>
    <sheetView workbookViewId="0">
      <selection activeCell="C21" sqref="C21"/>
    </sheetView>
  </sheetViews>
  <sheetFormatPr baseColWidth="10" defaultRowHeight="15"/>
  <cols>
    <col min="1" max="1" width="44.28515625" customWidth="1"/>
    <col min="2" max="2" width="35.42578125" customWidth="1"/>
  </cols>
  <sheetData>
    <row r="5" spans="1:2" ht="18.75">
      <c r="A5" s="205"/>
      <c r="B5" s="205"/>
    </row>
    <row r="6" spans="1:2" ht="18.75">
      <c r="A6" s="205" t="s">
        <v>230</v>
      </c>
      <c r="B6" s="205"/>
    </row>
    <row r="7" spans="1:2" ht="18.75">
      <c r="A7" s="206" t="str">
        <f>+Efectivo!B7</f>
        <v>Del ejercicio terminado Al 28 de Febrero 2023</v>
      </c>
      <c r="B7" s="206"/>
    </row>
    <row r="8" spans="1:2" ht="18.75">
      <c r="A8" s="205" t="s">
        <v>0</v>
      </c>
      <c r="B8" s="205"/>
    </row>
    <row r="9" spans="1:2" ht="18.75">
      <c r="A9" s="23"/>
      <c r="B9" s="23"/>
    </row>
    <row r="10" spans="1:2" ht="15.75">
      <c r="B10" s="16"/>
    </row>
    <row r="11" spans="1:2" ht="15.75">
      <c r="B11" s="16"/>
    </row>
    <row r="12" spans="1:2" ht="15" customHeight="1">
      <c r="A12" s="70" t="s">
        <v>56</v>
      </c>
      <c r="B12" s="36" t="s">
        <v>196</v>
      </c>
    </row>
    <row r="13" spans="1:2" ht="15.75">
      <c r="A13" s="73" t="s">
        <v>246</v>
      </c>
      <c r="B13" s="75">
        <v>2533815.7000000002</v>
      </c>
    </row>
    <row r="14" spans="1:2" ht="15.75" hidden="1">
      <c r="A14" s="25"/>
      <c r="B14" s="15"/>
    </row>
    <row r="15" spans="1:2" ht="15.75">
      <c r="A15" s="17" t="s">
        <v>239</v>
      </c>
      <c r="B15" s="74">
        <f>SUM(B13:B14)</f>
        <v>2533815.7000000002</v>
      </c>
    </row>
    <row r="17" spans="1:2">
      <c r="A17" t="s">
        <v>361</v>
      </c>
    </row>
    <row r="18" spans="1:2">
      <c r="A18" s="215" t="s">
        <v>368</v>
      </c>
      <c r="B18" s="215"/>
    </row>
    <row r="22" spans="1:2">
      <c r="A22" s="8" t="s">
        <v>352</v>
      </c>
    </row>
  </sheetData>
  <mergeCells count="5">
    <mergeCell ref="A5:B5"/>
    <mergeCell ref="A6:B6"/>
    <mergeCell ref="A7:B7"/>
    <mergeCell ref="A8:B8"/>
    <mergeCell ref="A18:B18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4:D30"/>
  <sheetViews>
    <sheetView workbookViewId="0">
      <selection activeCell="C17" sqref="C17"/>
    </sheetView>
  </sheetViews>
  <sheetFormatPr baseColWidth="10" defaultColWidth="11.5703125" defaultRowHeight="15"/>
  <cols>
    <col min="1" max="1" width="70.85546875" style="96" customWidth="1"/>
    <col min="2" max="2" width="19.140625" style="96" customWidth="1"/>
    <col min="3" max="16384" width="11.5703125" style="96"/>
  </cols>
  <sheetData>
    <row r="4" spans="1:4">
      <c r="A4" s="207"/>
      <c r="B4" s="207"/>
    </row>
    <row r="5" spans="1:4">
      <c r="A5" s="207" t="s">
        <v>233</v>
      </c>
      <c r="B5" s="207"/>
    </row>
    <row r="6" spans="1:4">
      <c r="A6" s="208" t="str">
        <f>+Efectivo!B7</f>
        <v>Del ejercicio terminado Al 28 de Febrero 2023</v>
      </c>
      <c r="B6" s="208"/>
    </row>
    <row r="7" spans="1:4">
      <c r="A7" s="207" t="s">
        <v>0</v>
      </c>
      <c r="B7" s="207"/>
    </row>
    <row r="10" spans="1:4">
      <c r="A10" s="216" t="s">
        <v>62</v>
      </c>
      <c r="B10" s="218" t="s">
        <v>196</v>
      </c>
    </row>
    <row r="11" spans="1:4">
      <c r="A11" s="217"/>
      <c r="B11" s="219"/>
    </row>
    <row r="12" spans="1:4">
      <c r="A12" s="181" t="s">
        <v>54</v>
      </c>
      <c r="B12" s="182">
        <v>689874.74</v>
      </c>
    </row>
    <row r="13" spans="1:4">
      <c r="A13" s="183" t="s">
        <v>65</v>
      </c>
      <c r="B13" s="178">
        <f>SUM(B12)</f>
        <v>689874.74</v>
      </c>
    </row>
    <row r="14" spans="1:4">
      <c r="A14" s="179"/>
      <c r="B14" s="184"/>
      <c r="C14" s="179"/>
      <c r="D14" s="179"/>
    </row>
    <row r="15" spans="1:4">
      <c r="A15" s="185" t="s">
        <v>64</v>
      </c>
      <c r="B15" s="186">
        <v>0</v>
      </c>
    </row>
    <row r="16" spans="1:4">
      <c r="A16" s="187" t="s">
        <v>63</v>
      </c>
      <c r="B16" s="186">
        <v>0</v>
      </c>
    </row>
    <row r="17" spans="1:2">
      <c r="A17" s="181" t="s">
        <v>180</v>
      </c>
      <c r="B17" s="188">
        <v>0</v>
      </c>
    </row>
    <row r="18" spans="1:2">
      <c r="A18" s="181" t="s">
        <v>53</v>
      </c>
      <c r="B18" s="188">
        <v>30000</v>
      </c>
    </row>
    <row r="19" spans="1:2">
      <c r="A19" s="183" t="s">
        <v>65</v>
      </c>
      <c r="B19" s="178">
        <f>SUM(B15:B18)</f>
        <v>30000</v>
      </c>
    </row>
    <row r="20" spans="1:2">
      <c r="A20" s="183" t="s">
        <v>51</v>
      </c>
      <c r="B20" s="178">
        <f>+B13+B19</f>
        <v>719874.74</v>
      </c>
    </row>
    <row r="21" spans="1:2">
      <c r="B21" s="180"/>
    </row>
    <row r="23" spans="1:2">
      <c r="A23" s="195" t="s">
        <v>361</v>
      </c>
    </row>
    <row r="24" spans="1:2">
      <c r="A24" s="195" t="s">
        <v>371</v>
      </c>
    </row>
    <row r="30" spans="1:2">
      <c r="A30" s="8" t="s">
        <v>352</v>
      </c>
    </row>
  </sheetData>
  <mergeCells count="6">
    <mergeCell ref="A4:B4"/>
    <mergeCell ref="A5:B5"/>
    <mergeCell ref="A6:B6"/>
    <mergeCell ref="A7:B7"/>
    <mergeCell ref="A10:A11"/>
    <mergeCell ref="B10:B11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5:B25"/>
  <sheetViews>
    <sheetView topLeftCell="A7" workbookViewId="0">
      <selection activeCell="B23" sqref="B23"/>
    </sheetView>
  </sheetViews>
  <sheetFormatPr baseColWidth="10" defaultColWidth="11.42578125" defaultRowHeight="18.75"/>
  <cols>
    <col min="1" max="1" width="65.140625" style="168" customWidth="1"/>
    <col min="2" max="2" width="24.85546875" style="168" customWidth="1"/>
    <col min="3" max="16384" width="11.42578125" style="168"/>
  </cols>
  <sheetData>
    <row r="5" spans="1:2">
      <c r="A5" s="205"/>
      <c r="B5" s="205"/>
    </row>
    <row r="6" spans="1:2">
      <c r="A6" s="205" t="s">
        <v>244</v>
      </c>
      <c r="B6" s="205"/>
    </row>
    <row r="7" spans="1:2">
      <c r="A7" s="206" t="str">
        <f>+Efectivo!B7</f>
        <v>Del ejercicio terminado Al 28 de Febrero 2023</v>
      </c>
      <c r="B7" s="206"/>
    </row>
    <row r="8" spans="1:2">
      <c r="A8" s="205" t="s">
        <v>0</v>
      </c>
      <c r="B8" s="205"/>
    </row>
    <row r="9" spans="1:2">
      <c r="A9" s="169"/>
      <c r="B9" s="170"/>
    </row>
    <row r="10" spans="1:2">
      <c r="A10" s="169"/>
      <c r="B10" s="170"/>
    </row>
    <row r="11" spans="1:2" ht="15" customHeight="1">
      <c r="A11" s="171" t="s">
        <v>56</v>
      </c>
      <c r="B11" s="172" t="s">
        <v>196</v>
      </c>
    </row>
    <row r="12" spans="1:2">
      <c r="A12" s="173" t="s">
        <v>192</v>
      </c>
      <c r="B12" s="174"/>
    </row>
    <row r="13" spans="1:2">
      <c r="A13" s="175" t="s">
        <v>353</v>
      </c>
      <c r="B13" s="189">
        <v>1767653.18</v>
      </c>
    </row>
    <row r="14" spans="1:2">
      <c r="A14" s="175" t="s">
        <v>375</v>
      </c>
      <c r="B14" s="197">
        <v>126116.66</v>
      </c>
    </row>
    <row r="15" spans="1:2">
      <c r="A15" s="175" t="s">
        <v>193</v>
      </c>
      <c r="B15" s="190">
        <v>0</v>
      </c>
    </row>
    <row r="16" spans="1:2">
      <c r="A16" s="176" t="s">
        <v>245</v>
      </c>
      <c r="B16" s="191">
        <f>SUM(B12:B14)</f>
        <v>1893769.8399999999</v>
      </c>
    </row>
    <row r="17" spans="1:2">
      <c r="B17" s="177" t="s">
        <v>7</v>
      </c>
    </row>
    <row r="18" spans="1:2">
      <c r="A18" s="168" t="s">
        <v>361</v>
      </c>
      <c r="B18" s="177"/>
    </row>
    <row r="19" spans="1:2">
      <c r="A19" s="168" t="s">
        <v>372</v>
      </c>
      <c r="B19" s="177"/>
    </row>
    <row r="20" spans="1:2">
      <c r="A20" s="168" t="s">
        <v>376</v>
      </c>
      <c r="B20" s="177"/>
    </row>
    <row r="21" spans="1:2">
      <c r="B21" s="177"/>
    </row>
    <row r="22" spans="1:2">
      <c r="B22" s="177"/>
    </row>
    <row r="23" spans="1:2">
      <c r="B23" s="177"/>
    </row>
    <row r="24" spans="1:2">
      <c r="B24" s="177" t="s">
        <v>7</v>
      </c>
    </row>
    <row r="25" spans="1:2">
      <c r="A25" s="8" t="s">
        <v>352</v>
      </c>
    </row>
  </sheetData>
  <mergeCells count="4">
    <mergeCell ref="A5:B5"/>
    <mergeCell ref="A7:B7"/>
    <mergeCell ref="A6:B6"/>
    <mergeCell ref="A8:B8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53"/>
  <sheetViews>
    <sheetView topLeftCell="A4" workbookViewId="0">
      <selection activeCell="C19" sqref="C19"/>
    </sheetView>
  </sheetViews>
  <sheetFormatPr baseColWidth="10" defaultRowHeight="15"/>
  <cols>
    <col min="1" max="1" width="65.28515625" customWidth="1"/>
    <col min="2" max="2" width="27.28515625" style="84" customWidth="1"/>
    <col min="3" max="3" width="31" customWidth="1"/>
  </cols>
  <sheetData>
    <row r="6" spans="1:2" ht="15.75">
      <c r="A6" s="220"/>
      <c r="B6" s="220"/>
    </row>
    <row r="7" spans="1:2" ht="15.75">
      <c r="A7" s="220" t="s">
        <v>235</v>
      </c>
      <c r="B7" s="220"/>
    </row>
    <row r="8" spans="1:2" ht="15.75">
      <c r="A8" s="220" t="str">
        <f>+Efectivo!B7</f>
        <v>Del ejercicio terminado Al 28 de Febrero 2023</v>
      </c>
      <c r="B8" s="220"/>
    </row>
    <row r="9" spans="1:2" ht="15" customHeight="1">
      <c r="A9" s="220" t="s">
        <v>0</v>
      </c>
      <c r="B9" s="220"/>
    </row>
    <row r="10" spans="1:2" ht="15" customHeight="1"/>
    <row r="11" spans="1:2" ht="15" hidden="1" customHeight="1"/>
    <row r="12" spans="1:2" ht="15" customHeight="1"/>
    <row r="13" spans="1:2" ht="15" customHeight="1">
      <c r="A13" s="29" t="s">
        <v>212</v>
      </c>
      <c r="B13" s="81" t="s">
        <v>196</v>
      </c>
    </row>
    <row r="14" spans="1:2" ht="20.25" customHeight="1">
      <c r="A14" s="33" t="s">
        <v>213</v>
      </c>
      <c r="B14" s="85">
        <v>22179.14</v>
      </c>
    </row>
    <row r="15" spans="1:2" ht="25.5" customHeight="1">
      <c r="A15" s="83" t="s">
        <v>66</v>
      </c>
      <c r="B15" s="86">
        <f>+B16+B17+B18+B19+B20+B21</f>
        <v>1302109.74</v>
      </c>
    </row>
    <row r="16" spans="1:2" ht="15" customHeight="1">
      <c r="A16" s="34" t="s">
        <v>197</v>
      </c>
      <c r="B16" s="87">
        <v>756700</v>
      </c>
    </row>
    <row r="17" spans="1:2" ht="15" customHeight="1">
      <c r="A17" s="34" t="s">
        <v>198</v>
      </c>
      <c r="B17" s="88">
        <v>79837.7</v>
      </c>
    </row>
    <row r="18" spans="1:2" ht="15.75">
      <c r="A18" s="34" t="s">
        <v>253</v>
      </c>
      <c r="B18" s="87">
        <v>180172.08</v>
      </c>
    </row>
    <row r="19" spans="1:2" ht="15.75">
      <c r="A19" s="34" t="s">
        <v>199</v>
      </c>
      <c r="B19" s="88"/>
    </row>
    <row r="20" spans="1:2" ht="15.75">
      <c r="A20" s="34" t="s">
        <v>200</v>
      </c>
      <c r="B20" s="87">
        <v>285399.96000000002</v>
      </c>
    </row>
    <row r="21" spans="1:2" ht="15.75">
      <c r="A21" s="34" t="s">
        <v>249</v>
      </c>
      <c r="B21" s="88">
        <v>0</v>
      </c>
    </row>
    <row r="22" spans="1:2" ht="18.75">
      <c r="A22" s="33" t="s">
        <v>214</v>
      </c>
      <c r="B22" s="86"/>
    </row>
    <row r="23" spans="1:2" ht="18.75">
      <c r="A23" s="33" t="s">
        <v>215</v>
      </c>
      <c r="B23" s="86">
        <f>+B24+B25+B26+B27+B28+B30+B29</f>
        <v>107297</v>
      </c>
    </row>
    <row r="24" spans="1:2" ht="15.75">
      <c r="A24" s="34" t="s">
        <v>201</v>
      </c>
      <c r="B24" s="87">
        <v>97297</v>
      </c>
    </row>
    <row r="25" spans="1:2" ht="15.75">
      <c r="A25" s="34" t="s">
        <v>202</v>
      </c>
      <c r="B25" s="87"/>
    </row>
    <row r="26" spans="1:2" ht="15.75">
      <c r="A26" s="34" t="s">
        <v>203</v>
      </c>
      <c r="B26" s="87"/>
    </row>
    <row r="27" spans="1:2" ht="15.75">
      <c r="A27" s="34" t="s">
        <v>204</v>
      </c>
      <c r="B27" s="87">
        <v>10000</v>
      </c>
    </row>
    <row r="28" spans="1:2" ht="15.75">
      <c r="A28" s="34" t="s">
        <v>205</v>
      </c>
      <c r="B28" s="87"/>
    </row>
    <row r="29" spans="1:2" ht="15.75">
      <c r="A29" s="34" t="s">
        <v>206</v>
      </c>
      <c r="B29" s="87"/>
    </row>
    <row r="30" spans="1:2" ht="15.75">
      <c r="A30" s="34" t="s">
        <v>115</v>
      </c>
      <c r="B30" s="89">
        <v>0</v>
      </c>
    </row>
    <row r="31" spans="1:2" ht="18.75">
      <c r="A31" s="33" t="s">
        <v>216</v>
      </c>
      <c r="B31" s="86">
        <f>+B32+B33+B34+B35+B36+B37+B38+B39+B40+B41+B42</f>
        <v>186921.55</v>
      </c>
    </row>
    <row r="32" spans="1:2" ht="15.75">
      <c r="A32" s="34" t="s">
        <v>128</v>
      </c>
      <c r="B32" s="87">
        <v>0</v>
      </c>
    </row>
    <row r="33" spans="1:2" ht="15.75">
      <c r="A33" s="34" t="s">
        <v>254</v>
      </c>
      <c r="B33" s="89">
        <v>0</v>
      </c>
    </row>
    <row r="34" spans="1:2" ht="15.75">
      <c r="A34" s="34" t="s">
        <v>131</v>
      </c>
      <c r="B34" s="87">
        <v>0</v>
      </c>
    </row>
    <row r="35" spans="1:2" ht="15.75">
      <c r="A35" s="34" t="s">
        <v>207</v>
      </c>
      <c r="B35" s="89">
        <v>0</v>
      </c>
    </row>
    <row r="36" spans="1:2" ht="15.75">
      <c r="A36" s="34" t="s">
        <v>250</v>
      </c>
      <c r="B36" s="89">
        <v>52669.49</v>
      </c>
    </row>
    <row r="37" spans="1:2" ht="15.75">
      <c r="A37" s="34" t="s">
        <v>208</v>
      </c>
      <c r="B37" s="87">
        <v>0</v>
      </c>
    </row>
    <row r="38" spans="1:2" ht="15.75">
      <c r="A38" s="34" t="s">
        <v>255</v>
      </c>
      <c r="B38" s="88">
        <v>29319.57</v>
      </c>
    </row>
    <row r="39" spans="1:2" ht="15.75">
      <c r="A39" s="34" t="s">
        <v>256</v>
      </c>
      <c r="B39" s="89">
        <v>0</v>
      </c>
    </row>
    <row r="40" spans="1:2" ht="15.75">
      <c r="A40" s="34" t="s">
        <v>209</v>
      </c>
      <c r="B40" s="89"/>
    </row>
    <row r="41" spans="1:2" ht="15.75">
      <c r="A41" s="34" t="s">
        <v>248</v>
      </c>
      <c r="B41" s="89"/>
    </row>
    <row r="42" spans="1:2" ht="15.75">
      <c r="A42" s="34" t="s">
        <v>210</v>
      </c>
      <c r="B42" s="90">
        <v>104932.49</v>
      </c>
    </row>
    <row r="43" spans="1:2" ht="18.75">
      <c r="A43" s="33" t="s">
        <v>217</v>
      </c>
      <c r="B43" s="86">
        <f>+B44</f>
        <v>0</v>
      </c>
    </row>
    <row r="44" spans="1:2" ht="15.75">
      <c r="A44" s="34" t="s">
        <v>247</v>
      </c>
      <c r="B44" s="87">
        <v>0</v>
      </c>
    </row>
    <row r="45" spans="1:2" ht="15.75">
      <c r="A45" s="35" t="s">
        <v>211</v>
      </c>
      <c r="B45" s="86">
        <f>+B14+B15+B23+B31+B43</f>
        <v>1618507.43</v>
      </c>
    </row>
    <row r="46" spans="1:2">
      <c r="A46" s="32"/>
    </row>
    <row r="47" spans="1:2">
      <c r="A47" s="32" t="s">
        <v>361</v>
      </c>
    </row>
    <row r="48" spans="1:2">
      <c r="A48" s="32" t="s">
        <v>373</v>
      </c>
    </row>
    <row r="49" spans="1:1">
      <c r="A49" s="32"/>
    </row>
    <row r="50" spans="1:1">
      <c r="A50" s="32"/>
    </row>
    <row r="53" spans="1:1">
      <c r="A53" s="8" t="s">
        <v>352</v>
      </c>
    </row>
  </sheetData>
  <mergeCells count="4">
    <mergeCell ref="A6:B6"/>
    <mergeCell ref="A7:B7"/>
    <mergeCell ref="A8:B8"/>
    <mergeCell ref="A9:B9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24" sqref="A24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205" t="s">
        <v>252</v>
      </c>
      <c r="B1" s="205"/>
    </row>
    <row r="2" spans="1:2" ht="18.75">
      <c r="A2" s="205" t="s">
        <v>231</v>
      </c>
      <c r="B2" s="205"/>
    </row>
    <row r="3" spans="1:2" ht="18.75">
      <c r="A3" s="206" t="s">
        <v>251</v>
      </c>
      <c r="B3" s="206"/>
    </row>
    <row r="4" spans="1:2" ht="18.75">
      <c r="A4" s="205" t="s">
        <v>0</v>
      </c>
      <c r="B4" s="205"/>
    </row>
    <row r="5" spans="1:2" ht="15.75">
      <c r="A5" s="8"/>
      <c r="B5" s="16"/>
    </row>
    <row r="6" spans="1:2" ht="15.75">
      <c r="A6" s="8"/>
      <c r="B6" s="16"/>
    </row>
    <row r="7" spans="1:2">
      <c r="A7" s="221" t="s">
        <v>56</v>
      </c>
      <c r="B7" s="224" t="s">
        <v>196</v>
      </c>
    </row>
    <row r="8" spans="1:2">
      <c r="A8" s="222"/>
      <c r="B8" s="225"/>
    </row>
    <row r="9" spans="1:2">
      <c r="A9" s="223"/>
      <c r="B9" s="226"/>
    </row>
    <row r="10" spans="1:2" ht="15.75">
      <c r="A10" s="26" t="s">
        <v>192</v>
      </c>
      <c r="B10" s="40">
        <v>0</v>
      </c>
    </row>
    <row r="11" spans="1:2" ht="15.75">
      <c r="A11" s="18" t="s">
        <v>191</v>
      </c>
      <c r="B11" s="11">
        <v>0</v>
      </c>
    </row>
    <row r="12" spans="1:2" ht="15.75">
      <c r="A12" s="18" t="s">
        <v>193</v>
      </c>
      <c r="B12" s="11">
        <v>0</v>
      </c>
    </row>
    <row r="13" spans="1:2" ht="17.25">
      <c r="A13" s="17" t="s">
        <v>240</v>
      </c>
      <c r="B13" s="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8"/>
  <sheetViews>
    <sheetView tabSelected="1" topLeftCell="C1" zoomScaleNormal="100" workbookViewId="0">
      <selection activeCell="C60" sqref="C60"/>
    </sheetView>
  </sheetViews>
  <sheetFormatPr baseColWidth="10" defaultColWidth="11.42578125" defaultRowHeight="15"/>
  <cols>
    <col min="1" max="1" width="7.5703125" style="66" hidden="1" customWidth="1"/>
    <col min="2" max="2" width="3.7109375" style="7" hidden="1" customWidth="1"/>
    <col min="3" max="3" width="4.28515625" style="7" customWidth="1"/>
    <col min="4" max="4" width="59.28515625" style="7" customWidth="1"/>
    <col min="5" max="5" width="20.28515625" style="7" hidden="1" customWidth="1"/>
    <col min="6" max="6" width="21.28515625" style="7" hidden="1" customWidth="1"/>
    <col min="7" max="7" width="18.7109375" style="7" hidden="1" customWidth="1"/>
    <col min="8" max="8" width="16" style="7" hidden="1" customWidth="1"/>
    <col min="9" max="9" width="16.85546875" style="7" hidden="1" customWidth="1"/>
    <col min="10" max="10" width="13.7109375" style="7" hidden="1" customWidth="1"/>
    <col min="11" max="12" width="15.28515625" style="7" hidden="1" customWidth="1"/>
    <col min="13" max="13" width="19.85546875" style="7" hidden="1" customWidth="1"/>
    <col min="14" max="14" width="12.42578125" style="7" hidden="1" customWidth="1"/>
    <col min="15" max="15" width="16.28515625" style="1" hidden="1" customWidth="1"/>
    <col min="16" max="16" width="18.7109375" style="7" hidden="1" customWidth="1"/>
    <col min="17" max="17" width="13.7109375" style="7" hidden="1" customWidth="1"/>
    <col min="18" max="18" width="13.85546875" style="7" hidden="1" customWidth="1"/>
    <col min="19" max="19" width="17.7109375" style="7" hidden="1" customWidth="1"/>
    <col min="20" max="21" width="13.85546875" style="7" hidden="1" customWidth="1"/>
    <col min="22" max="22" width="10" style="7" hidden="1" customWidth="1"/>
    <col min="23" max="23" width="13.85546875" style="7" customWidth="1"/>
    <col min="24" max="16384" width="11.42578125" style="110"/>
  </cols>
  <sheetData>
    <row r="2" spans="1:23">
      <c r="O2" s="7"/>
    </row>
    <row r="3" spans="1:23">
      <c r="O3" s="7"/>
    </row>
    <row r="4" spans="1:23">
      <c r="O4" s="7"/>
    </row>
    <row r="5" spans="1:23">
      <c r="O5" s="7"/>
    </row>
    <row r="6" spans="1:23" ht="15.75">
      <c r="C6" s="198" t="str">
        <f>+[2]BC!D5</f>
        <v>Servicio Nacional de Salud</v>
      </c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80"/>
      <c r="O6" s="80"/>
      <c r="P6" s="80"/>
      <c r="Q6" s="80"/>
      <c r="R6" s="80"/>
      <c r="S6" s="80"/>
      <c r="T6" s="80"/>
      <c r="U6" s="80"/>
      <c r="V6" s="80"/>
      <c r="W6" s="80"/>
    </row>
    <row r="7" spans="1:23" ht="15.75">
      <c r="C7" s="198" t="s">
        <v>266</v>
      </c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80"/>
      <c r="O7" s="80"/>
      <c r="P7" s="80"/>
      <c r="Q7" s="80"/>
      <c r="R7" s="80"/>
      <c r="S7" s="80"/>
      <c r="T7" s="80"/>
      <c r="U7" s="80"/>
      <c r="V7" s="80"/>
      <c r="W7" s="80"/>
    </row>
    <row r="8" spans="1:23" ht="15.75">
      <c r="C8" s="198" t="s">
        <v>189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80"/>
      <c r="O8" s="80"/>
      <c r="P8" s="80"/>
      <c r="Q8" s="80"/>
      <c r="R8" s="80"/>
      <c r="S8" s="80"/>
      <c r="T8" s="80"/>
      <c r="U8" s="80"/>
      <c r="V8" s="80"/>
      <c r="W8" s="80"/>
    </row>
    <row r="9" spans="1:23" ht="15.75">
      <c r="C9" s="198" t="str">
        <f>+Efectivo!B7</f>
        <v>Del ejercicio terminado Al 28 de Febrero 2023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spans="1:23" ht="15.75">
      <c r="C10" s="198" t="s">
        <v>0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spans="1:23" ht="15.75">
      <c r="C11" s="198" t="s">
        <v>380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80"/>
      <c r="P11" s="80"/>
      <c r="Q11" s="80"/>
      <c r="R11" s="80"/>
      <c r="S11" s="80"/>
      <c r="T11" s="80"/>
      <c r="U11" s="80"/>
      <c r="V11" s="80"/>
      <c r="W11" s="80"/>
    </row>
    <row r="12" spans="1:23">
      <c r="D12" s="43"/>
      <c r="E12" s="43"/>
      <c r="G12" s="43"/>
      <c r="O12" s="7"/>
    </row>
    <row r="13" spans="1:23">
      <c r="E13" s="199">
        <v>2021</v>
      </c>
      <c r="F13" s="199"/>
      <c r="G13" s="199"/>
      <c r="H13" s="199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 ht="21" customHeight="1">
      <c r="F14" s="111" t="s">
        <v>267</v>
      </c>
      <c r="G14" s="45" t="s">
        <v>268</v>
      </c>
      <c r="H14" s="44" t="s">
        <v>269</v>
      </c>
      <c r="I14" s="44" t="s">
        <v>270</v>
      </c>
      <c r="J14" s="44" t="s">
        <v>271</v>
      </c>
      <c r="K14" s="44" t="s">
        <v>272</v>
      </c>
      <c r="L14" s="44" t="s">
        <v>273</v>
      </c>
      <c r="M14" s="44" t="s">
        <v>274</v>
      </c>
      <c r="N14" s="44" t="s">
        <v>275</v>
      </c>
      <c r="O14" s="44" t="s">
        <v>276</v>
      </c>
      <c r="P14" s="44" t="s">
        <v>277</v>
      </c>
      <c r="Q14" s="44" t="s">
        <v>278</v>
      </c>
      <c r="R14" s="44" t="s">
        <v>267</v>
      </c>
      <c r="S14" s="44" t="s">
        <v>268</v>
      </c>
      <c r="T14" s="44" t="s">
        <v>269</v>
      </c>
      <c r="U14" s="44" t="s">
        <v>270</v>
      </c>
      <c r="V14" s="44" t="s">
        <v>271</v>
      </c>
      <c r="W14" s="44" t="s">
        <v>277</v>
      </c>
    </row>
    <row r="15" spans="1:23">
      <c r="A15" s="66" t="s">
        <v>50</v>
      </c>
      <c r="C15" s="46" t="s">
        <v>1</v>
      </c>
      <c r="D15" s="47"/>
      <c r="E15" s="47"/>
      <c r="F15" s="48"/>
      <c r="G15" s="47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</row>
    <row r="16" spans="1:23">
      <c r="C16" s="46" t="s">
        <v>2</v>
      </c>
      <c r="D16" s="47"/>
      <c r="E16" s="47"/>
      <c r="F16" s="110"/>
      <c r="G16" s="11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</row>
    <row r="17" spans="1:23">
      <c r="A17" s="66" t="s">
        <v>22</v>
      </c>
      <c r="D17" s="7" t="s">
        <v>47</v>
      </c>
      <c r="F17" s="50">
        <f>+'[3] Bal Comprobacion Abr'!C10</f>
        <v>6038369.7699999996</v>
      </c>
      <c r="G17" s="50">
        <f>+'[3]Bal Comprobacion Mayo'!C10</f>
        <v>8853117.4499999993</v>
      </c>
      <c r="H17" s="50">
        <f>+'[3]Bal Comprobacion Junio'!C10</f>
        <v>8131336.8600000003</v>
      </c>
      <c r="I17" s="50">
        <f>+'[3]Bal Comprobacion Julio'!C10</f>
        <v>9786222.9500000011</v>
      </c>
      <c r="J17" s="50">
        <f>+'[4]Bal Comprobacion Agosto'!C10</f>
        <v>12499168.91</v>
      </c>
      <c r="K17" s="50">
        <f>+'[4]Bal Comprobacion Septiembre'!C10</f>
        <v>6880777.9800000004</v>
      </c>
      <c r="L17" s="50">
        <f>+'[4]Bal Comprobacion Octubre'!C10</f>
        <v>7999987.1799999997</v>
      </c>
      <c r="M17" s="50">
        <f>+'[4]Bal Comprobacion Noviembre'!C10</f>
        <v>10700224.689999999</v>
      </c>
      <c r="N17" s="50">
        <f>+'[4]Bal Comprobacion Diciembre'!C10</f>
        <v>12181300.399999999</v>
      </c>
      <c r="O17" s="50">
        <f>+'[5]Bal Comprobacion Enero'!C10</f>
        <v>9530060.3000000007</v>
      </c>
      <c r="P17" s="50">
        <f>+'[6]Bal Comprobacion Enero'!C10</f>
        <v>7220510.4299999997</v>
      </c>
      <c r="Q17" s="50">
        <f>+'[1]ANEXO NOTAS '!O19</f>
        <v>7145941.2999999998</v>
      </c>
      <c r="R17" s="50">
        <f>+'[7]ANEXO NOTAS '!O19</f>
        <v>7220770.54</v>
      </c>
      <c r="S17" s="50">
        <f>+'[1]ANEXO NOTAS '!P19</f>
        <v>8339881.3899999997</v>
      </c>
      <c r="T17" s="50">
        <f>+'[1]ANEXO NOTAS '!Q19</f>
        <v>7495750.6699999999</v>
      </c>
      <c r="U17" s="50">
        <f>+'[1]ANEXO NOTAS '!R19</f>
        <v>6142944</v>
      </c>
      <c r="V17" s="50">
        <f>+'[1]ANEXO NOTAS '!S19</f>
        <v>0</v>
      </c>
      <c r="W17" s="50">
        <f>+Efectivo!C23</f>
        <v>682053.88</v>
      </c>
    </row>
    <row r="18" spans="1:23" s="79" customFormat="1">
      <c r="A18" s="112" t="s">
        <v>23</v>
      </c>
      <c r="B18" s="52"/>
      <c r="C18" s="52"/>
      <c r="D18" s="7" t="s">
        <v>220</v>
      </c>
      <c r="E18" s="7"/>
      <c r="F18" s="54">
        <f>+'[3] Bal Comprobacion Abr'!C11</f>
        <v>2726697.9199999943</v>
      </c>
      <c r="G18" s="54">
        <f>+'[3]Bal Comprobacion Mayo'!C11</f>
        <v>10017000.289999994</v>
      </c>
      <c r="H18" s="54">
        <f>+'[3]Bal Comprobacion Junio'!C11</f>
        <v>8670349.0199999996</v>
      </c>
      <c r="I18" s="54">
        <f>+'[3]Bal Comprobacion Julio'!C11</f>
        <v>8722552.0700000003</v>
      </c>
      <c r="J18" s="54">
        <f>+'[8]RESUMEN '!$C$19</f>
        <v>9080621.8599999808</v>
      </c>
      <c r="K18" s="54">
        <f>+'[4]Bal Comprobacion Septiembre'!C11</f>
        <v>9611818.0699999779</v>
      </c>
      <c r="L18" s="54">
        <f>+'[4]Bal Comprobacion Octubre'!C11</f>
        <v>14213410.259999976</v>
      </c>
      <c r="M18" s="54">
        <f>+'[4]Bal Comprobacion Noviembre'!C11</f>
        <v>13806156.409999968</v>
      </c>
      <c r="N18" s="54">
        <f>+'[4]Bal Comprobacion Diciembre'!C11</f>
        <v>11814381.922999967</v>
      </c>
      <c r="O18" s="54">
        <f>+'[1]ANEXO NOTAS '!M26</f>
        <v>6803233.2000000002</v>
      </c>
      <c r="P18" s="54">
        <f>+'[1]ANEXO NOTAS '!N26</f>
        <v>8236479.5299999993</v>
      </c>
      <c r="Q18" s="54">
        <f>+'[1]ANEXO NOTAS '!O26</f>
        <v>7436738.2200000007</v>
      </c>
      <c r="R18" s="54">
        <f>+'[7]ANEXO NOTAS '!O26</f>
        <v>7385459.1500000004</v>
      </c>
      <c r="S18" s="54">
        <f>+'[1]ANEXO NOTAS '!P26</f>
        <v>6769953.3000000007</v>
      </c>
      <c r="T18" s="54">
        <f>+'[1]ANEXO NOTAS '!Q26</f>
        <v>6105871.2199999997</v>
      </c>
      <c r="U18" s="54">
        <f>+'[1]ANEXO NOTAS '!R26</f>
        <v>5042737</v>
      </c>
      <c r="V18" s="54">
        <f>+'[1]ANEXO NOTAS '!S26</f>
        <v>0</v>
      </c>
      <c r="W18" s="54">
        <f>+'Cuenta por Cobrar'!B19</f>
        <v>1032091.65</v>
      </c>
    </row>
    <row r="19" spans="1:23">
      <c r="A19" s="66" t="s">
        <v>24</v>
      </c>
      <c r="D19" s="7" t="s">
        <v>221</v>
      </c>
      <c r="F19" s="55">
        <v>23139458.919999998</v>
      </c>
      <c r="G19" s="55">
        <f>+'[3]Bal Comprobacion Mayo'!C12</f>
        <v>26035133</v>
      </c>
      <c r="H19" s="55">
        <f>+'[3]Bal Comprobacion Junio'!C12</f>
        <v>9071259.5299999993</v>
      </c>
      <c r="I19" s="55">
        <f>+'[3]Bal Comprobacion Julio'!C12</f>
        <v>7639427.29</v>
      </c>
      <c r="J19" s="55">
        <f>+'[4]ANEXO NOTAS '!G33</f>
        <v>7190673.330000001</v>
      </c>
      <c r="K19" s="55">
        <f>+'[4]Bal Comprobacion Septiembre'!C12</f>
        <v>5323163.3100000015</v>
      </c>
      <c r="L19" s="55">
        <f>+'[4]Bal Comprobacion Octubre'!C12</f>
        <v>13329706.239999998</v>
      </c>
      <c r="M19" s="55">
        <f>+'[4]Bal Comprobacion Noviembre'!C12</f>
        <v>20548976.789999999</v>
      </c>
      <c r="N19" s="55">
        <f>+'[4]Bal Comprobacion Diciembre'!C12</f>
        <v>4136532.4899999993</v>
      </c>
      <c r="O19" s="57">
        <f>+'[1]ANEXO NOTAS '!M34</f>
        <v>4524152.2699999996</v>
      </c>
      <c r="P19" s="57">
        <f>+'[1]ANEXO NOTAS '!N34</f>
        <v>2245461.1</v>
      </c>
      <c r="Q19" s="57">
        <f>+'[1]ANEXO NOTAS '!O34</f>
        <v>2245461.1</v>
      </c>
      <c r="R19" s="57">
        <f>+'[7]ANEXO NOTAS '!O34</f>
        <v>2133187</v>
      </c>
      <c r="S19" s="57">
        <f>+'[1]ANEXO NOTAS '!P34</f>
        <v>2245461.1</v>
      </c>
      <c r="T19" s="57">
        <f>+'[1]ANEXO NOTAS '!Q34</f>
        <v>2588635.5699999998</v>
      </c>
      <c r="U19" s="57">
        <f>+'[1]ANEXO NOTAS '!R34</f>
        <v>2588635</v>
      </c>
      <c r="V19" s="57">
        <f>+'[1]ANEXO NOTAS '!S34</f>
        <v>0</v>
      </c>
      <c r="W19" s="57">
        <f>+Inventario!B18</f>
        <v>14197638.1</v>
      </c>
    </row>
    <row r="20" spans="1:23" ht="15.75" thickBot="1">
      <c r="C20" s="46" t="s">
        <v>3</v>
      </c>
      <c r="F20" s="59">
        <f>SUM(F14:F19)</f>
        <v>31904526.609999992</v>
      </c>
      <c r="G20" s="59">
        <f>SUM(G14:G19)</f>
        <v>44905250.739999995</v>
      </c>
      <c r="H20" s="59">
        <f t="shared" ref="H20:V20" si="0">SUM(H16:H19)</f>
        <v>25872945.409999996</v>
      </c>
      <c r="I20" s="59">
        <f t="shared" si="0"/>
        <v>26148202.310000002</v>
      </c>
      <c r="J20" s="59">
        <f t="shared" si="0"/>
        <v>28770464.099999983</v>
      </c>
      <c r="K20" s="59">
        <f t="shared" si="0"/>
        <v>21815759.359999981</v>
      </c>
      <c r="L20" s="59">
        <f t="shared" si="0"/>
        <v>35543103.679999977</v>
      </c>
      <c r="M20" s="59">
        <f t="shared" si="0"/>
        <v>45055357.889999971</v>
      </c>
      <c r="N20" s="59">
        <f t="shared" si="0"/>
        <v>28132214.812999964</v>
      </c>
      <c r="O20" s="59">
        <f t="shared" si="0"/>
        <v>20857445.77</v>
      </c>
      <c r="P20" s="59">
        <f t="shared" si="0"/>
        <v>17702451.059999999</v>
      </c>
      <c r="Q20" s="59">
        <f t="shared" si="0"/>
        <v>16828140.620000001</v>
      </c>
      <c r="R20" s="59">
        <f t="shared" si="0"/>
        <v>16739416.690000001</v>
      </c>
      <c r="S20" s="59">
        <f t="shared" si="0"/>
        <v>17355295.790000003</v>
      </c>
      <c r="T20" s="59">
        <f t="shared" si="0"/>
        <v>16190257.460000001</v>
      </c>
      <c r="U20" s="59">
        <f t="shared" si="0"/>
        <v>13774316</v>
      </c>
      <c r="V20" s="59">
        <f t="shared" si="0"/>
        <v>0</v>
      </c>
      <c r="W20" s="116">
        <f>SUM(W17:W19)</f>
        <v>15911783.629999999</v>
      </c>
    </row>
    <row r="21" spans="1:23" ht="15.75" thickTop="1">
      <c r="C21" s="46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</row>
    <row r="22" spans="1:23">
      <c r="C22" s="46" t="s">
        <v>4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</row>
    <row r="23" spans="1:23" s="79" customFormat="1">
      <c r="A23" s="112" t="s">
        <v>25</v>
      </c>
      <c r="B23" s="52"/>
      <c r="C23" s="52"/>
      <c r="D23" s="61" t="s">
        <v>279</v>
      </c>
      <c r="E23" s="61"/>
      <c r="F23" s="54">
        <v>0</v>
      </c>
      <c r="G23" s="54">
        <v>0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>
        <f>+'[1]ANEXO NOTAS '!R53</f>
        <v>7919609.4000000004</v>
      </c>
      <c r="V23" s="54">
        <f>+'[1]ANEXO NOTAS '!S53</f>
        <v>0</v>
      </c>
      <c r="W23" s="54">
        <f>+'Cuenta por Cobrar a largo plazo'!B19</f>
        <v>7919609.4000000004</v>
      </c>
    </row>
    <row r="24" spans="1:23" ht="15.75" thickBot="1">
      <c r="C24" s="46" t="s">
        <v>5</v>
      </c>
      <c r="F24" s="59">
        <f t="shared" ref="F24:W24" si="1">SUM(F23:F23)</f>
        <v>0</v>
      </c>
      <c r="G24" s="59">
        <f t="shared" si="1"/>
        <v>0</v>
      </c>
      <c r="H24" s="59">
        <f t="shared" si="1"/>
        <v>0</v>
      </c>
      <c r="I24" s="59">
        <f t="shared" si="1"/>
        <v>0</v>
      </c>
      <c r="J24" s="59">
        <f t="shared" si="1"/>
        <v>0</v>
      </c>
      <c r="K24" s="59">
        <f t="shared" si="1"/>
        <v>0</v>
      </c>
      <c r="L24" s="59">
        <f t="shared" si="1"/>
        <v>0</v>
      </c>
      <c r="M24" s="59">
        <f t="shared" si="1"/>
        <v>0</v>
      </c>
      <c r="N24" s="59">
        <f t="shared" si="1"/>
        <v>0</v>
      </c>
      <c r="O24" s="59">
        <f t="shared" si="1"/>
        <v>0</v>
      </c>
      <c r="P24" s="59">
        <f t="shared" si="1"/>
        <v>0</v>
      </c>
      <c r="Q24" s="59">
        <f t="shared" si="1"/>
        <v>0</v>
      </c>
      <c r="R24" s="59">
        <f t="shared" si="1"/>
        <v>0</v>
      </c>
      <c r="S24" s="59">
        <f t="shared" si="1"/>
        <v>0</v>
      </c>
      <c r="T24" s="59">
        <f t="shared" si="1"/>
        <v>0</v>
      </c>
      <c r="U24" s="59">
        <f t="shared" si="1"/>
        <v>7919609.4000000004</v>
      </c>
      <c r="V24" s="59">
        <f t="shared" si="1"/>
        <v>0</v>
      </c>
      <c r="W24" s="116">
        <f t="shared" si="1"/>
        <v>7919609.4000000004</v>
      </c>
    </row>
    <row r="25" spans="1:23" ht="15.75" thickTop="1">
      <c r="C25" s="46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1:23" ht="15.75" thickBot="1">
      <c r="C26" s="46" t="s">
        <v>6</v>
      </c>
      <c r="F26" s="62">
        <f t="shared" ref="F26:V26" si="2">SUM(F24,F20)</f>
        <v>31904526.609999992</v>
      </c>
      <c r="G26" s="62">
        <f t="shared" si="2"/>
        <v>44905250.739999995</v>
      </c>
      <c r="H26" s="62">
        <f t="shared" si="2"/>
        <v>25872945.409999996</v>
      </c>
      <c r="I26" s="62">
        <f t="shared" si="2"/>
        <v>26148202.310000002</v>
      </c>
      <c r="J26" s="62">
        <f t="shared" si="2"/>
        <v>28770464.099999983</v>
      </c>
      <c r="K26" s="62">
        <f t="shared" si="2"/>
        <v>21815759.359999981</v>
      </c>
      <c r="L26" s="62">
        <f t="shared" si="2"/>
        <v>35543103.679999977</v>
      </c>
      <c r="M26" s="62">
        <f t="shared" si="2"/>
        <v>45055357.889999971</v>
      </c>
      <c r="N26" s="62">
        <f t="shared" si="2"/>
        <v>28132214.812999964</v>
      </c>
      <c r="O26" s="62">
        <f t="shared" si="2"/>
        <v>20857445.77</v>
      </c>
      <c r="P26" s="62">
        <f t="shared" si="2"/>
        <v>17702451.059999999</v>
      </c>
      <c r="Q26" s="62">
        <f t="shared" si="2"/>
        <v>16828140.620000001</v>
      </c>
      <c r="R26" s="62">
        <f t="shared" si="2"/>
        <v>16739416.690000001</v>
      </c>
      <c r="S26" s="62">
        <f t="shared" si="2"/>
        <v>17355295.790000003</v>
      </c>
      <c r="T26" s="62">
        <f t="shared" si="2"/>
        <v>16190257.460000001</v>
      </c>
      <c r="U26" s="62">
        <f t="shared" si="2"/>
        <v>21693925.399999999</v>
      </c>
      <c r="V26" s="62">
        <f t="shared" si="2"/>
        <v>0</v>
      </c>
      <c r="W26" s="62">
        <f>+W20+W24</f>
        <v>23831393.030000001</v>
      </c>
    </row>
    <row r="27" spans="1:23" ht="15.75" thickTop="1">
      <c r="D27" s="7" t="s">
        <v>7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</row>
    <row r="28" spans="1:23">
      <c r="C28" s="46" t="s">
        <v>8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</row>
    <row r="29" spans="1:23">
      <c r="C29" s="46" t="s">
        <v>9</v>
      </c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</row>
    <row r="30" spans="1:23">
      <c r="A30" s="66" t="s">
        <v>26</v>
      </c>
      <c r="D30" s="7" t="s">
        <v>223</v>
      </c>
      <c r="F30" s="57">
        <f>+'[3] Bal Comprobacion Abr'!D18</f>
        <v>13522609.74</v>
      </c>
      <c r="G30" s="57">
        <f>+'[3]Bal Comprobacion Mayo'!D18</f>
        <v>8787960.1899999995</v>
      </c>
      <c r="H30" s="57">
        <f>+'[3]Bal Comprobacion Junio'!D18</f>
        <v>4491687.3</v>
      </c>
      <c r="I30" s="57">
        <f>+'[3]Bal Comprobacion Julio'!D18</f>
        <v>1491762.3900000001</v>
      </c>
      <c r="J30" s="57">
        <f>+'[4]Bal Comprobacion Agosto'!D18</f>
        <v>1255799.3699999999</v>
      </c>
      <c r="K30" s="57">
        <f>+'[4]Bal Comprobacion Septiembre'!D18</f>
        <v>2198503.5500000003</v>
      </c>
      <c r="L30" s="57">
        <f>+'[4]Bal Comprobacion Octubre'!D18</f>
        <v>2368128.9899999998</v>
      </c>
      <c r="M30" s="57">
        <f>+'[4]Bal Comprobacion Noviembre'!D18</f>
        <v>1299288.28</v>
      </c>
      <c r="N30" s="57">
        <f>+'[9]DIDICEMBRE 2021'!$G$89</f>
        <v>3278454.4200000009</v>
      </c>
      <c r="O30" s="57">
        <f>+'[1]ANEXO NOTAS '!M44</f>
        <v>3267495.96</v>
      </c>
      <c r="P30" s="57">
        <f>+'[1]ANEXO NOTAS '!N44</f>
        <v>1570580.9</v>
      </c>
      <c r="Q30" s="57">
        <f>+'[1]ANEXO NOTAS '!O43</f>
        <v>1719061.66</v>
      </c>
      <c r="R30" s="57">
        <f>+'[7]ANEXO NOTAS '!O43</f>
        <v>1719061.66</v>
      </c>
      <c r="S30" s="57">
        <f>+'[1]ANEXO NOTAS '!P43</f>
        <v>1205716.45</v>
      </c>
      <c r="T30" s="57">
        <f>+'[1]ANEXO NOTAS '!Q43</f>
        <v>427797.28</v>
      </c>
      <c r="U30" s="57">
        <f>+'[1]ANEXO NOTAS '!R43</f>
        <v>330223</v>
      </c>
      <c r="V30" s="57">
        <f>+'[1]ANEXO NOTAS '!S43</f>
        <v>0</v>
      </c>
      <c r="W30" s="57">
        <f>+'CXP Corto plazo'!B13</f>
        <v>0</v>
      </c>
    </row>
    <row r="31" spans="1:23" s="79" customFormat="1">
      <c r="A31" s="112" t="s">
        <v>27</v>
      </c>
      <c r="B31" s="52"/>
      <c r="C31" s="52"/>
      <c r="D31" s="7" t="s">
        <v>224</v>
      </c>
      <c r="E31" s="7"/>
      <c r="F31" s="53">
        <v>0</v>
      </c>
      <c r="G31" s="53">
        <v>0</v>
      </c>
      <c r="H31" s="53"/>
      <c r="I31" s="53"/>
      <c r="J31" s="53"/>
      <c r="K31" s="53"/>
      <c r="L31" s="53"/>
      <c r="M31" s="53"/>
      <c r="N31" s="53"/>
      <c r="O31" s="53">
        <f>+'[1]ANEXO NOTAS '!M39</f>
        <v>0</v>
      </c>
      <c r="P31" s="53">
        <f>+'[1]ANEXO NOTAS '!N39</f>
        <v>2499075</v>
      </c>
      <c r="Q31" s="53">
        <f>+'[1]ANEXO NOTAS '!O39</f>
        <v>2495750.37</v>
      </c>
      <c r="R31" s="53">
        <f>+'[7]ANEXO NOTAS '!O39</f>
        <v>2495750.37</v>
      </c>
      <c r="S31" s="53">
        <f>+'[1]ANEXO NOTAS '!P39</f>
        <v>2495319.0299999998</v>
      </c>
      <c r="T31" s="53">
        <f>+'[1]ANEXO NOTAS '!Q39</f>
        <v>2496354.08</v>
      </c>
      <c r="U31" s="53">
        <f>+'[1]ANEXO NOTAS '!R39</f>
        <v>2494880</v>
      </c>
      <c r="V31" s="53">
        <f>+'[1]ANEXO NOTAS '!S39</f>
        <v>0</v>
      </c>
      <c r="W31" s="53">
        <f>+'Retenciones y Acum.'!$B$16</f>
        <v>20800.18</v>
      </c>
    </row>
    <row r="32" spans="1:23" s="79" customFormat="1">
      <c r="A32" s="112" t="s">
        <v>28</v>
      </c>
      <c r="B32" s="52"/>
      <c r="C32" s="52"/>
      <c r="D32" s="7" t="s">
        <v>225</v>
      </c>
      <c r="E32" s="7"/>
      <c r="F32" s="58">
        <f>+'[3] Bal Comprobacion Abr'!D34</f>
        <v>3355082.04</v>
      </c>
      <c r="G32" s="58">
        <f>+'[3]Bal Comprobacion Mayo'!C20</f>
        <v>2847347</v>
      </c>
      <c r="H32" s="58">
        <f>+'[3]Bal Comprobacion Junio'!D34</f>
        <v>3141231.1189999999</v>
      </c>
      <c r="I32" s="58">
        <f>+'[3]Bal Comprobacion Julio'!C20</f>
        <v>3726072.6170000001</v>
      </c>
      <c r="J32" s="58">
        <f>+'[4]Bal Comprobacion Agosto'!C20</f>
        <v>2628113.9064999996</v>
      </c>
      <c r="K32" s="58">
        <f>+'[4]Bal Comprobacion Septiembre'!D34</f>
        <v>2011021.33</v>
      </c>
      <c r="L32" s="58">
        <f>+'[4]Bal Comprobacion Octubre'!D28</f>
        <v>1402009.7</v>
      </c>
      <c r="M32" s="58">
        <f>+'[4]Bal Comprobacion Noviembre'!D34</f>
        <v>2011021.33</v>
      </c>
      <c r="N32" s="54">
        <f>+'[4]Bal Comprobacion Diciembre'!D34</f>
        <v>3759866.057</v>
      </c>
      <c r="O32" s="54">
        <f>+'[1]ANEXO NOTAS '!M65</f>
        <v>524610</v>
      </c>
      <c r="P32" s="54">
        <f>+'[1]ANEXO NOTAS '!N65</f>
        <v>6091808</v>
      </c>
      <c r="Q32" s="54">
        <f>+'[1]ANEXO NOTAS '!O65</f>
        <v>6084597.6600000001</v>
      </c>
      <c r="R32" s="54">
        <f>+'[7]ANEXO NOTAS '!O56</f>
        <v>6084597.6600000001</v>
      </c>
      <c r="S32" s="54">
        <f>+'[1]ANEXO NOTAS '!P65</f>
        <v>6084597.6600000001</v>
      </c>
      <c r="T32" s="54">
        <f>+'[1]ANEXO NOTAS '!Q65</f>
        <v>5425535</v>
      </c>
      <c r="U32" s="54">
        <f>+'[1]ANEXO NOTAS '!R65</f>
        <v>5425535</v>
      </c>
      <c r="V32" s="54">
        <f>+'[1]ANEXO NOTAS '!S65</f>
        <v>0</v>
      </c>
      <c r="W32" s="54">
        <f>+'Benef. Empl x p Corto Plazo'!B16</f>
        <v>1893769.8399999999</v>
      </c>
    </row>
    <row r="33" spans="1:23" s="79" customFormat="1">
      <c r="A33" s="112"/>
      <c r="B33" s="52"/>
      <c r="C33" s="52"/>
      <c r="D33" s="7" t="s">
        <v>354</v>
      </c>
      <c r="E33" s="7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>
        <f>+'Total Gasto'!B45</f>
        <v>1618507.43</v>
      </c>
    </row>
    <row r="34" spans="1:23" ht="15.75" thickBot="1">
      <c r="C34" s="46" t="s">
        <v>10</v>
      </c>
      <c r="F34" s="60">
        <f t="shared" ref="F34:V34" si="3">SUM(F30:F32)</f>
        <v>16877691.780000001</v>
      </c>
      <c r="G34" s="60">
        <f t="shared" si="3"/>
        <v>11635307.189999999</v>
      </c>
      <c r="H34" s="60">
        <f t="shared" si="3"/>
        <v>7632918.4189999998</v>
      </c>
      <c r="I34" s="60">
        <f t="shared" si="3"/>
        <v>5217835.0070000002</v>
      </c>
      <c r="J34" s="60">
        <f t="shared" si="3"/>
        <v>3883913.2764999997</v>
      </c>
      <c r="K34" s="60">
        <f t="shared" si="3"/>
        <v>4209524.8800000008</v>
      </c>
      <c r="L34" s="60">
        <f t="shared" si="3"/>
        <v>3770138.6899999995</v>
      </c>
      <c r="M34" s="60">
        <f t="shared" si="3"/>
        <v>3310309.6100000003</v>
      </c>
      <c r="N34" s="60">
        <f t="shared" si="3"/>
        <v>7038320.4770000009</v>
      </c>
      <c r="O34" s="113">
        <f t="shared" si="3"/>
        <v>3792105.96</v>
      </c>
      <c r="P34" s="113">
        <f t="shared" si="3"/>
        <v>10161463.9</v>
      </c>
      <c r="Q34" s="113">
        <f t="shared" si="3"/>
        <v>10299409.690000001</v>
      </c>
      <c r="R34" s="113">
        <f t="shared" si="3"/>
        <v>10299409.690000001</v>
      </c>
      <c r="S34" s="113">
        <f t="shared" si="3"/>
        <v>9785633.1400000006</v>
      </c>
      <c r="T34" s="113">
        <f t="shared" si="3"/>
        <v>8349686.3600000003</v>
      </c>
      <c r="U34" s="113">
        <f t="shared" si="3"/>
        <v>8250638</v>
      </c>
      <c r="V34" s="113">
        <f t="shared" si="3"/>
        <v>0</v>
      </c>
      <c r="W34" s="116">
        <f>SUM(W30:W33)</f>
        <v>3533077.4499999997</v>
      </c>
    </row>
    <row r="35" spans="1:23" ht="15.75" thickTop="1">
      <c r="C35" s="46"/>
      <c r="F35" s="60"/>
      <c r="G35" s="60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</row>
    <row r="36" spans="1:23" s="79" customFormat="1">
      <c r="A36" s="112"/>
      <c r="B36" s="52"/>
      <c r="C36" s="64" t="s">
        <v>11</v>
      </c>
      <c r="D36" s="52"/>
      <c r="E36" s="52"/>
      <c r="F36" s="63"/>
      <c r="G36" s="63"/>
      <c r="H36" s="63"/>
      <c r="I36" s="63"/>
      <c r="J36" s="63"/>
      <c r="K36" s="63"/>
      <c r="L36" s="63"/>
      <c r="M36" s="63"/>
      <c r="N36" s="63"/>
      <c r="O36" s="114"/>
      <c r="P36" s="63"/>
      <c r="Q36" s="63"/>
      <c r="R36" s="63"/>
      <c r="S36" s="63"/>
      <c r="T36" s="63"/>
      <c r="U36" s="63"/>
      <c r="V36" s="63"/>
      <c r="W36" s="63"/>
    </row>
    <row r="37" spans="1:23" s="79" customFormat="1">
      <c r="A37" s="112" t="s">
        <v>29</v>
      </c>
      <c r="B37" s="52"/>
      <c r="C37" s="52"/>
      <c r="D37" s="7" t="s">
        <v>227</v>
      </c>
      <c r="E37" s="7"/>
      <c r="F37" s="53">
        <f>+'[3] Bal Comprobacion Abr'!D21</f>
        <v>19578905.010000002</v>
      </c>
      <c r="G37" s="53">
        <f>+'[3]Bal Comprobacion Mayo'!D21</f>
        <v>18708814.48</v>
      </c>
      <c r="H37" s="53">
        <f>+'[3]Bal Comprobacion Junio'!D21</f>
        <v>17827222.579999998</v>
      </c>
      <c r="I37" s="53">
        <v>16047280.619999997</v>
      </c>
      <c r="J37" s="53">
        <f>+'[4]Bal Comprobacion Agosto'!D21</f>
        <v>14191537.369999997</v>
      </c>
      <c r="K37" s="53">
        <f>+'[4]Bal Comprobacion Septiembre'!D21</f>
        <v>13823934.869999999</v>
      </c>
      <c r="L37" s="53">
        <f>+'[4]Bal Comprobacion Octubre'!D21</f>
        <v>14580400.019999977</v>
      </c>
      <c r="M37" s="53">
        <f>+'[4]Bal Comprobacion Noviembre'!D21</f>
        <v>13750297.869999999</v>
      </c>
      <c r="N37" s="53">
        <f>+'[9]DIDICEMBRE 2021'!$F$89</f>
        <v>13031642.02</v>
      </c>
      <c r="O37" s="54">
        <f>+'[5]Bal Comprobacion Enero'!D21</f>
        <v>14713227.019999998</v>
      </c>
      <c r="P37" s="53">
        <f>+'[6]Bal Comprobacion Enero'!D21</f>
        <v>11884059.039999999</v>
      </c>
      <c r="Q37" s="53">
        <v>10945850.83</v>
      </c>
      <c r="R37" s="53"/>
      <c r="S37" s="53"/>
      <c r="T37" s="53"/>
      <c r="U37" s="53">
        <f>+'[1]ANEXO NOTAS '!R48</f>
        <v>2807325.04</v>
      </c>
      <c r="V37" s="53">
        <f>+'[1]ANEXO NOTAS '!S48</f>
        <v>0</v>
      </c>
      <c r="W37" s="53">
        <f>+'CXP Largo Plazo'!B15</f>
        <v>2533815.7000000002</v>
      </c>
    </row>
    <row r="38" spans="1:23" s="79" customFormat="1">
      <c r="A38" s="112"/>
      <c r="B38" s="52"/>
      <c r="C38" s="64" t="s">
        <v>12</v>
      </c>
      <c r="D38" s="52"/>
      <c r="E38" s="52"/>
      <c r="F38" s="59" t="e">
        <f>+F37+#REF!</f>
        <v>#REF!</v>
      </c>
      <c r="G38" s="59" t="e">
        <f>+G37+#REF!</f>
        <v>#REF!</v>
      </c>
      <c r="H38" s="59" t="e">
        <f>+H37+#REF!</f>
        <v>#REF!</v>
      </c>
      <c r="I38" s="59" t="e">
        <f>+I37+#REF!</f>
        <v>#REF!</v>
      </c>
      <c r="J38" s="59" t="e">
        <f>+J37+#REF!</f>
        <v>#REF!</v>
      </c>
      <c r="K38" s="59" t="e">
        <f>+K37+#REF!</f>
        <v>#REF!</v>
      </c>
      <c r="L38" s="59" t="e">
        <f>+L37+#REF!</f>
        <v>#REF!</v>
      </c>
      <c r="M38" s="59" t="e">
        <f>+M37+#REF!</f>
        <v>#REF!</v>
      </c>
      <c r="N38" s="59" t="e">
        <f>+N37+#REF!</f>
        <v>#REF!</v>
      </c>
      <c r="O38" s="59" t="e">
        <f>+O37+#REF!</f>
        <v>#REF!</v>
      </c>
      <c r="P38" s="59" t="e">
        <f>+P37+#REF!</f>
        <v>#REF!</v>
      </c>
      <c r="Q38" s="59" t="e">
        <f>+Q37+#REF!</f>
        <v>#REF!</v>
      </c>
      <c r="R38" s="59" t="e">
        <f>+R37+#REF!</f>
        <v>#REF!</v>
      </c>
      <c r="S38" s="59" t="e">
        <f>+S37+#REF!</f>
        <v>#REF!</v>
      </c>
      <c r="T38" s="59" t="e">
        <f>+T37+#REF!</f>
        <v>#REF!</v>
      </c>
      <c r="U38" s="59" t="e">
        <f>+U37+#REF!</f>
        <v>#REF!</v>
      </c>
      <c r="V38" s="59" t="e">
        <f>+V37+#REF!</f>
        <v>#REF!</v>
      </c>
      <c r="W38" s="59"/>
    </row>
    <row r="39" spans="1:23" ht="15.75" thickBot="1">
      <c r="C39" s="46" t="s">
        <v>13</v>
      </c>
      <c r="F39" s="113" t="e">
        <f>+F34+F38</f>
        <v>#REF!</v>
      </c>
      <c r="G39" s="113" t="e">
        <f>+G34+G38</f>
        <v>#REF!</v>
      </c>
      <c r="H39" s="59" t="e">
        <f t="shared" ref="H39:W39" si="4">SUM(H34,H38)</f>
        <v>#REF!</v>
      </c>
      <c r="I39" s="59" t="e">
        <f t="shared" si="4"/>
        <v>#REF!</v>
      </c>
      <c r="J39" s="59" t="e">
        <f t="shared" si="4"/>
        <v>#REF!</v>
      </c>
      <c r="K39" s="59" t="e">
        <f t="shared" si="4"/>
        <v>#REF!</v>
      </c>
      <c r="L39" s="59" t="e">
        <f t="shared" si="4"/>
        <v>#REF!</v>
      </c>
      <c r="M39" s="59" t="e">
        <f t="shared" si="4"/>
        <v>#REF!</v>
      </c>
      <c r="N39" s="59" t="e">
        <f t="shared" si="4"/>
        <v>#REF!</v>
      </c>
      <c r="O39" s="59" t="e">
        <f t="shared" si="4"/>
        <v>#REF!</v>
      </c>
      <c r="P39" s="59" t="e">
        <f t="shared" si="4"/>
        <v>#REF!</v>
      </c>
      <c r="Q39" s="59" t="e">
        <f t="shared" si="4"/>
        <v>#REF!</v>
      </c>
      <c r="R39" s="59" t="e">
        <f t="shared" si="4"/>
        <v>#REF!</v>
      </c>
      <c r="S39" s="59" t="e">
        <f t="shared" si="4"/>
        <v>#REF!</v>
      </c>
      <c r="T39" s="59" t="e">
        <f t="shared" si="4"/>
        <v>#REF!</v>
      </c>
      <c r="U39" s="59" t="e">
        <f t="shared" si="4"/>
        <v>#REF!</v>
      </c>
      <c r="V39" s="59" t="e">
        <f t="shared" si="4"/>
        <v>#REF!</v>
      </c>
      <c r="W39" s="116">
        <f t="shared" si="4"/>
        <v>3533077.4499999997</v>
      </c>
    </row>
    <row r="40" spans="1:23" ht="15.75" thickTop="1">
      <c r="C40" s="46"/>
      <c r="F40" s="57"/>
      <c r="G40" s="57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</row>
    <row r="41" spans="1:23">
      <c r="C41" s="46" t="s">
        <v>232</v>
      </c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</row>
    <row r="42" spans="1:23" s="79" customFormat="1">
      <c r="A42" s="112" t="s">
        <v>30</v>
      </c>
      <c r="B42" s="52"/>
      <c r="C42" s="64"/>
      <c r="D42" s="7" t="s">
        <v>190</v>
      </c>
      <c r="E42" s="7"/>
      <c r="F42" s="53">
        <f>+'[10]Balanza Comprobacion'!D23</f>
        <v>0</v>
      </c>
      <c r="G42" s="53">
        <f>+'[10]Balanza Comprobacion'!C23</f>
        <v>0</v>
      </c>
      <c r="H42" s="53"/>
      <c r="I42" s="53"/>
      <c r="J42" s="53"/>
      <c r="K42" s="53"/>
      <c r="L42" s="53"/>
      <c r="M42" s="53"/>
      <c r="N42" s="53"/>
      <c r="O42" s="54"/>
      <c r="P42" s="54"/>
      <c r="Q42" s="54"/>
      <c r="R42" s="54"/>
      <c r="S42" s="54"/>
      <c r="T42" s="54"/>
      <c r="U42" s="54"/>
      <c r="V42" s="54"/>
      <c r="W42" s="54"/>
    </row>
    <row r="43" spans="1:23" s="79" customFormat="1">
      <c r="A43" s="112" t="s">
        <v>31</v>
      </c>
      <c r="B43" s="52"/>
      <c r="C43" s="52"/>
      <c r="D43" s="7" t="s">
        <v>14</v>
      </c>
      <c r="E43" s="7"/>
      <c r="F43" s="53"/>
      <c r="G43" s="53"/>
      <c r="H43" s="53"/>
      <c r="I43" s="53"/>
      <c r="J43" s="53"/>
      <c r="K43" s="53"/>
      <c r="L43" s="53"/>
      <c r="M43" s="53"/>
      <c r="N43" s="53"/>
      <c r="O43" s="54">
        <v>5814968</v>
      </c>
      <c r="P43" s="54">
        <v>785489</v>
      </c>
      <c r="Q43" s="54"/>
      <c r="R43" s="54">
        <v>4427410</v>
      </c>
      <c r="S43" s="54">
        <v>7758677</v>
      </c>
      <c r="T43" s="54">
        <v>7602992</v>
      </c>
      <c r="U43" s="54">
        <v>9794259</v>
      </c>
      <c r="V43" s="54">
        <v>10124180</v>
      </c>
      <c r="W43" s="54">
        <v>2525687</v>
      </c>
    </row>
    <row r="44" spans="1:23">
      <c r="A44" s="66" t="s">
        <v>32</v>
      </c>
      <c r="D44" s="7" t="s">
        <v>48</v>
      </c>
      <c r="F44" s="50"/>
      <c r="G44" s="50"/>
      <c r="H44" s="50"/>
      <c r="I44" s="50"/>
      <c r="J44" s="50"/>
      <c r="K44" s="50"/>
      <c r="L44" s="50"/>
      <c r="M44" s="50"/>
      <c r="N44" s="50"/>
      <c r="O44" s="57"/>
      <c r="P44" s="57"/>
      <c r="Q44" s="57"/>
      <c r="R44" s="57"/>
      <c r="S44" s="57"/>
      <c r="T44" s="57"/>
      <c r="U44" s="57"/>
      <c r="V44" s="57"/>
      <c r="W44" s="57">
        <f>+'ERF SRS'!F33</f>
        <v>-928632.69</v>
      </c>
    </row>
    <row r="45" spans="1:23">
      <c r="A45" s="66" t="s">
        <v>33</v>
      </c>
      <c r="D45" s="7" t="s">
        <v>49</v>
      </c>
      <c r="F45" s="55"/>
      <c r="G45" s="55"/>
      <c r="H45" s="55"/>
      <c r="I45" s="55"/>
      <c r="J45" s="55"/>
      <c r="K45" s="55"/>
      <c r="L45" s="55"/>
      <c r="M45" s="55"/>
      <c r="N45" s="57"/>
      <c r="O45" s="57"/>
      <c r="P45" s="57"/>
      <c r="Q45" s="57">
        <v>-4206693</v>
      </c>
      <c r="R45" s="57"/>
      <c r="S45" s="57"/>
      <c r="T45" s="57"/>
      <c r="U45" s="57"/>
      <c r="V45" s="57"/>
      <c r="W45" s="57">
        <v>18701261</v>
      </c>
    </row>
    <row r="46" spans="1:23" s="79" customFormat="1">
      <c r="A46" s="112" t="s">
        <v>34</v>
      </c>
      <c r="B46" s="52"/>
      <c r="C46" s="52"/>
      <c r="D46" s="7" t="s">
        <v>15</v>
      </c>
      <c r="E46" s="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</row>
    <row r="47" spans="1:23">
      <c r="C47" s="46" t="s">
        <v>16</v>
      </c>
      <c r="F47" s="59">
        <f>+F42+F44+F45</f>
        <v>0</v>
      </c>
      <c r="G47" s="59">
        <f>+G42+G44+G45</f>
        <v>0</v>
      </c>
      <c r="H47" s="59"/>
      <c r="I47" s="59"/>
      <c r="J47" s="59"/>
      <c r="K47" s="59"/>
      <c r="L47" s="59"/>
      <c r="M47" s="59"/>
      <c r="N47" s="60"/>
      <c r="O47" s="60">
        <f>+O43+O45</f>
        <v>5814968</v>
      </c>
      <c r="P47" s="60">
        <f t="shared" ref="P47:U47" si="5">SUM(P42:P46)</f>
        <v>785489</v>
      </c>
      <c r="Q47" s="60">
        <f t="shared" si="5"/>
        <v>-4206693</v>
      </c>
      <c r="R47" s="60">
        <f t="shared" si="5"/>
        <v>4427410</v>
      </c>
      <c r="S47" s="60">
        <f t="shared" si="5"/>
        <v>7758677</v>
      </c>
      <c r="T47" s="60">
        <f t="shared" si="5"/>
        <v>7602992</v>
      </c>
      <c r="U47" s="60">
        <f t="shared" si="5"/>
        <v>9794259</v>
      </c>
      <c r="V47" s="60">
        <f t="shared" ref="V47:W47" si="6">SUM(V42:V46)</f>
        <v>10124180</v>
      </c>
      <c r="W47" s="60">
        <f t="shared" si="6"/>
        <v>20298315.309999999</v>
      </c>
    </row>
    <row r="48" spans="1:23">
      <c r="C48" s="46"/>
      <c r="F48" s="49"/>
      <c r="G48" s="49"/>
      <c r="H48" s="49"/>
      <c r="I48" s="49"/>
      <c r="J48" s="49"/>
      <c r="K48" s="49"/>
      <c r="L48" s="49"/>
      <c r="M48" s="49"/>
      <c r="N48" s="115"/>
      <c r="O48" s="115"/>
      <c r="P48" s="115"/>
      <c r="Q48" s="115"/>
      <c r="R48" s="115"/>
      <c r="S48" s="115"/>
      <c r="T48" s="115"/>
      <c r="U48" s="115"/>
      <c r="V48" s="115"/>
      <c r="W48" s="115"/>
    </row>
    <row r="49" spans="3:23" ht="15.75" thickBot="1">
      <c r="C49" s="46" t="s">
        <v>46</v>
      </c>
      <c r="F49" s="62" t="e">
        <f t="shared" ref="F49:O49" si="7">+F39+F47</f>
        <v>#REF!</v>
      </c>
      <c r="G49" s="62" t="e">
        <f t="shared" si="7"/>
        <v>#REF!</v>
      </c>
      <c r="H49" s="62" t="e">
        <f t="shared" si="7"/>
        <v>#REF!</v>
      </c>
      <c r="I49" s="62" t="e">
        <f t="shared" si="7"/>
        <v>#REF!</v>
      </c>
      <c r="J49" s="62" t="e">
        <f t="shared" si="7"/>
        <v>#REF!</v>
      </c>
      <c r="K49" s="62" t="e">
        <f t="shared" si="7"/>
        <v>#REF!</v>
      </c>
      <c r="L49" s="62" t="e">
        <f t="shared" si="7"/>
        <v>#REF!</v>
      </c>
      <c r="M49" s="62" t="e">
        <f t="shared" si="7"/>
        <v>#REF!</v>
      </c>
      <c r="N49" s="62" t="e">
        <f t="shared" si="7"/>
        <v>#REF!</v>
      </c>
      <c r="O49" s="116" t="e">
        <f t="shared" si="7"/>
        <v>#REF!</v>
      </c>
      <c r="P49" s="116" t="e">
        <f t="shared" ref="P49:W49" si="8">+P34+P38+P47</f>
        <v>#REF!</v>
      </c>
      <c r="Q49" s="116" t="e">
        <f t="shared" si="8"/>
        <v>#REF!</v>
      </c>
      <c r="R49" s="116" t="e">
        <f t="shared" si="8"/>
        <v>#REF!</v>
      </c>
      <c r="S49" s="116" t="e">
        <f t="shared" si="8"/>
        <v>#REF!</v>
      </c>
      <c r="T49" s="116" t="e">
        <f t="shared" si="8"/>
        <v>#REF!</v>
      </c>
      <c r="U49" s="116" t="e">
        <f t="shared" si="8"/>
        <v>#REF!</v>
      </c>
      <c r="V49" s="116" t="e">
        <f t="shared" si="8"/>
        <v>#REF!</v>
      </c>
      <c r="W49" s="116">
        <f t="shared" si="8"/>
        <v>23831392.759999998</v>
      </c>
    </row>
    <row r="50" spans="3:23" ht="15.75" thickTop="1">
      <c r="C50" s="46"/>
      <c r="F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pans="3:23">
      <c r="F51" s="50"/>
      <c r="H51" s="50"/>
      <c r="I51" s="50"/>
      <c r="J51" s="50"/>
      <c r="K51" s="50"/>
      <c r="L51" s="50"/>
      <c r="M51" s="50"/>
      <c r="N51" s="50"/>
      <c r="O51" s="50" t="e">
        <f t="shared" ref="O51:W51" si="9">+O26-O49</f>
        <v>#REF!</v>
      </c>
      <c r="P51" s="50" t="e">
        <f t="shared" si="9"/>
        <v>#REF!</v>
      </c>
      <c r="Q51" s="50" t="e">
        <f t="shared" si="9"/>
        <v>#REF!</v>
      </c>
      <c r="R51" s="50" t="e">
        <f t="shared" si="9"/>
        <v>#REF!</v>
      </c>
      <c r="S51" s="50" t="e">
        <f t="shared" si="9"/>
        <v>#REF!</v>
      </c>
      <c r="T51" s="50" t="e">
        <f t="shared" si="9"/>
        <v>#REF!</v>
      </c>
      <c r="U51" s="50" t="e">
        <f t="shared" si="9"/>
        <v>#REF!</v>
      </c>
      <c r="V51" s="50" t="e">
        <f t="shared" si="9"/>
        <v>#REF!</v>
      </c>
      <c r="W51" s="50">
        <f t="shared" si="9"/>
        <v>0.27000000327825546</v>
      </c>
    </row>
    <row r="52" spans="3:23">
      <c r="O52" s="7"/>
    </row>
    <row r="53" spans="3:23">
      <c r="D53" s="46"/>
      <c r="E53" s="46"/>
      <c r="G53" s="46"/>
      <c r="O53" s="7"/>
    </row>
    <row r="54" spans="3:23">
      <c r="D54" s="8" t="s">
        <v>352</v>
      </c>
      <c r="F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</row>
    <row r="56" spans="3:23">
      <c r="F56" s="65"/>
      <c r="H56" s="65"/>
      <c r="I56" s="65"/>
      <c r="J56" s="65"/>
      <c r="K56" s="65"/>
      <c r="L56" s="65"/>
      <c r="M56" s="65"/>
      <c r="N56" s="65"/>
      <c r="O56" s="6"/>
      <c r="P56" s="65"/>
      <c r="Q56" s="65"/>
      <c r="R56" s="65"/>
      <c r="S56" s="65"/>
      <c r="T56" s="65"/>
      <c r="U56" s="65"/>
      <c r="V56" s="65"/>
      <c r="W56" s="65"/>
    </row>
    <row r="58" spans="3:23">
      <c r="F58" s="65"/>
      <c r="H58" s="50"/>
      <c r="I58" s="50"/>
      <c r="J58" s="50"/>
      <c r="K58" s="50"/>
      <c r="L58" s="50"/>
      <c r="M58" s="50"/>
      <c r="N58" s="50"/>
      <c r="O58" s="27"/>
      <c r="P58" s="50"/>
      <c r="Q58" s="50"/>
      <c r="R58" s="50"/>
      <c r="S58" s="50"/>
      <c r="T58" s="50"/>
      <c r="U58" s="50"/>
      <c r="V58" s="50"/>
      <c r="W58" s="50"/>
    </row>
  </sheetData>
  <mergeCells count="7">
    <mergeCell ref="E13:H13"/>
    <mergeCell ref="C6:M6"/>
    <mergeCell ref="C7:M7"/>
    <mergeCell ref="C8:M8"/>
    <mergeCell ref="C9:M9"/>
    <mergeCell ref="C10:M10"/>
    <mergeCell ref="C11:N11"/>
  </mergeCells>
  <pageMargins left="0.25" right="0.25" top="0.75" bottom="0.75" header="0.3" footer="0.3"/>
  <pageSetup scale="76" fitToWidth="0" orientation="portrait" r:id="rId1"/>
  <rowBreaks count="1" manualBreakCount="1">
    <brk id="27" min="2" max="2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37"/>
  <sheetViews>
    <sheetView topLeftCell="B1" zoomScaleNormal="100" zoomScaleSheetLayoutView="87" workbookViewId="0">
      <selection activeCell="J16" sqref="J16"/>
    </sheetView>
  </sheetViews>
  <sheetFormatPr baseColWidth="10" defaultColWidth="11.42578125" defaultRowHeight="15"/>
  <cols>
    <col min="1" max="1" width="5.42578125" style="4" hidden="1" customWidth="1"/>
    <col min="2" max="2" width="3.7109375" style="1" customWidth="1"/>
    <col min="3" max="3" width="4.28515625" style="1" customWidth="1"/>
    <col min="4" max="4" width="50" style="1" customWidth="1"/>
    <col min="5" max="5" width="1.7109375" style="1" customWidth="1"/>
    <col min="6" max="6" width="16.42578125" style="1" bestFit="1" customWidth="1"/>
    <col min="7" max="7" width="1.7109375" style="1" customWidth="1"/>
    <col min="8" max="8" width="14.42578125" style="1" hidden="1" customWidth="1"/>
    <col min="9" max="9" width="3.7109375" style="1" customWidth="1"/>
    <col min="10" max="10" width="19.85546875" style="1" customWidth="1"/>
    <col min="11" max="11" width="14.85546875" style="1" customWidth="1"/>
    <col min="12" max="13" width="11.42578125" style="1"/>
    <col min="14" max="16384" width="11.42578125" style="3"/>
  </cols>
  <sheetData>
    <row r="4" spans="1:13" ht="15.75">
      <c r="A4" s="66"/>
      <c r="B4" s="7"/>
      <c r="C4" s="198" t="s">
        <v>194</v>
      </c>
      <c r="D4" s="198"/>
      <c r="E4" s="198"/>
      <c r="F4" s="198"/>
      <c r="G4" s="198"/>
      <c r="H4" s="198"/>
    </row>
    <row r="5" spans="1:13" ht="15.75">
      <c r="A5" s="66"/>
      <c r="B5" s="7"/>
      <c r="C5" s="198" t="str">
        <f>+Efectivo!B7</f>
        <v>Del ejercicio terminado Al 28 de Febrero 2023</v>
      </c>
      <c r="D5" s="198"/>
      <c r="E5" s="198"/>
      <c r="F5" s="198"/>
      <c r="G5" s="198"/>
      <c r="H5" s="198"/>
    </row>
    <row r="6" spans="1:13" ht="15.75">
      <c r="A6" s="66"/>
      <c r="B6" s="7"/>
      <c r="C6" s="198" t="s">
        <v>0</v>
      </c>
      <c r="D6" s="198"/>
      <c r="E6" s="198"/>
      <c r="F6" s="198"/>
      <c r="G6" s="198"/>
      <c r="H6" s="198"/>
    </row>
    <row r="7" spans="1:13" ht="15.75">
      <c r="A7" s="66"/>
      <c r="B7" s="198" t="s">
        <v>380</v>
      </c>
      <c r="C7" s="198"/>
      <c r="D7" s="198"/>
      <c r="E7" s="198"/>
      <c r="F7" s="198"/>
      <c r="G7" s="198"/>
      <c r="H7" s="198"/>
      <c r="I7" s="198"/>
      <c r="J7" s="192"/>
      <c r="K7" s="192"/>
      <c r="L7" s="192"/>
      <c r="M7" s="192"/>
    </row>
    <row r="8" spans="1:13">
      <c r="A8" s="66"/>
      <c r="B8" s="7"/>
      <c r="C8" s="7"/>
      <c r="D8" s="7"/>
      <c r="E8" s="7"/>
      <c r="F8" s="67">
        <v>2023</v>
      </c>
      <c r="G8" s="45"/>
      <c r="H8" s="67">
        <f>+[11]ESF!H7</f>
        <v>2016</v>
      </c>
    </row>
    <row r="9" spans="1:13">
      <c r="A9" s="66"/>
      <c r="B9" s="7"/>
      <c r="C9" s="46" t="s">
        <v>234</v>
      </c>
      <c r="D9" s="47"/>
      <c r="E9" s="47"/>
      <c r="F9" s="50"/>
      <c r="G9" s="49"/>
      <c r="H9" s="49"/>
      <c r="K9" s="27"/>
    </row>
    <row r="10" spans="1:13">
      <c r="A10" s="66" t="s">
        <v>35</v>
      </c>
      <c r="B10" s="7"/>
      <c r="C10" s="7"/>
      <c r="D10" s="7" t="s">
        <v>264</v>
      </c>
      <c r="E10" s="7"/>
      <c r="F10" s="53">
        <f>+Efectivo!C14</f>
        <v>169687</v>
      </c>
      <c r="G10" s="56"/>
      <c r="H10" s="57"/>
      <c r="K10" s="27"/>
    </row>
    <row r="11" spans="1:13">
      <c r="A11" s="66"/>
      <c r="B11" s="7"/>
      <c r="C11" s="7"/>
      <c r="D11" s="7" t="s">
        <v>53</v>
      </c>
      <c r="E11" s="7"/>
      <c r="F11" s="53">
        <v>30000</v>
      </c>
      <c r="G11" s="56"/>
      <c r="H11" s="57"/>
      <c r="K11" s="27"/>
    </row>
    <row r="12" spans="1:13">
      <c r="A12" s="66"/>
      <c r="B12" s="7"/>
      <c r="C12" s="7"/>
      <c r="D12" s="7" t="s">
        <v>55</v>
      </c>
      <c r="E12" s="7"/>
      <c r="F12" s="53">
        <f>+Efectivo!C16</f>
        <v>0</v>
      </c>
      <c r="G12" s="56"/>
      <c r="H12" s="57"/>
      <c r="K12" s="27"/>
    </row>
    <row r="13" spans="1:13">
      <c r="A13" s="66" t="s">
        <v>36</v>
      </c>
      <c r="B13" s="7"/>
      <c r="C13" s="7"/>
      <c r="D13" s="7" t="s">
        <v>345</v>
      </c>
      <c r="E13" s="7"/>
      <c r="F13" s="57">
        <f>+Efectivo!C17</f>
        <v>5000</v>
      </c>
      <c r="G13" s="56"/>
      <c r="H13" s="57"/>
      <c r="K13" s="27"/>
    </row>
    <row r="14" spans="1:13">
      <c r="A14" s="66"/>
      <c r="B14" s="7"/>
      <c r="C14" s="7"/>
      <c r="D14" s="7" t="s">
        <v>346</v>
      </c>
      <c r="E14" s="7"/>
      <c r="F14" s="57">
        <f>+Efectivo!C18</f>
        <v>0</v>
      </c>
      <c r="G14" s="56"/>
      <c r="H14" s="57"/>
      <c r="K14" s="27"/>
    </row>
    <row r="15" spans="1:13">
      <c r="A15" s="66"/>
      <c r="B15" s="7"/>
      <c r="C15" s="7"/>
      <c r="D15" s="7" t="s">
        <v>355</v>
      </c>
      <c r="E15" s="7"/>
      <c r="F15" s="57">
        <f>+Efectivo!C19</f>
        <v>410477.74</v>
      </c>
      <c r="G15" s="56"/>
      <c r="H15" s="57"/>
      <c r="K15" s="27"/>
    </row>
    <row r="16" spans="1:13">
      <c r="A16" s="66"/>
      <c r="B16" s="7"/>
      <c r="C16" s="7"/>
      <c r="D16" s="7" t="s">
        <v>356</v>
      </c>
      <c r="E16" s="7"/>
      <c r="F16" s="57">
        <f>+Efectivo!C20</f>
        <v>24710</v>
      </c>
      <c r="G16" s="56"/>
      <c r="H16" s="57"/>
      <c r="K16" s="27"/>
    </row>
    <row r="17" spans="1:14">
      <c r="A17" s="66" t="s">
        <v>37</v>
      </c>
      <c r="B17" s="7"/>
      <c r="C17" s="7"/>
      <c r="D17" s="7" t="s">
        <v>357</v>
      </c>
      <c r="E17" s="7"/>
      <c r="F17" s="50">
        <v>50000</v>
      </c>
      <c r="G17" s="56"/>
      <c r="H17" s="57"/>
      <c r="K17" s="27"/>
    </row>
    <row r="18" spans="1:14">
      <c r="A18" s="66" t="s">
        <v>38</v>
      </c>
      <c r="B18" s="7"/>
      <c r="C18" s="7"/>
      <c r="D18" s="7" t="s">
        <v>63</v>
      </c>
      <c r="E18" s="7"/>
      <c r="F18" s="55"/>
      <c r="G18" s="56"/>
      <c r="H18" s="57"/>
      <c r="K18" s="27"/>
    </row>
    <row r="19" spans="1:14">
      <c r="A19" s="66"/>
      <c r="B19" s="7"/>
      <c r="C19" s="46" t="s">
        <v>19</v>
      </c>
      <c r="D19" s="7"/>
      <c r="E19" s="7"/>
      <c r="F19" s="59">
        <f>SUM(F10:F18)</f>
        <v>689874.74</v>
      </c>
      <c r="G19" s="56"/>
      <c r="H19" s="59">
        <f>SUM(H10:H18)</f>
        <v>0</v>
      </c>
      <c r="K19" s="27"/>
    </row>
    <row r="20" spans="1:14">
      <c r="A20" s="66"/>
      <c r="B20" s="7"/>
      <c r="C20" s="7"/>
      <c r="D20" s="7" t="s">
        <v>7</v>
      </c>
      <c r="E20" s="7"/>
      <c r="F20" s="50"/>
      <c r="G20" s="50"/>
      <c r="H20" s="50"/>
    </row>
    <row r="21" spans="1:14">
      <c r="A21" s="66"/>
      <c r="B21" s="7"/>
      <c r="C21" s="46" t="s">
        <v>236</v>
      </c>
      <c r="D21" s="7"/>
      <c r="E21" s="7"/>
      <c r="F21" s="51"/>
      <c r="G21" s="51"/>
      <c r="H21" s="51"/>
      <c r="K21" s="27"/>
    </row>
    <row r="22" spans="1:14">
      <c r="A22" s="66" t="s">
        <v>39</v>
      </c>
      <c r="B22" s="7"/>
      <c r="C22" s="7"/>
      <c r="D22" s="7" t="s">
        <v>66</v>
      </c>
      <c r="E22" s="7"/>
      <c r="F22" s="50">
        <f>+'Total Gasto'!B15</f>
        <v>1302109.74</v>
      </c>
      <c r="G22" s="50"/>
      <c r="H22" s="50"/>
      <c r="K22" s="27"/>
    </row>
    <row r="23" spans="1:14">
      <c r="A23" s="66" t="s">
        <v>40</v>
      </c>
      <c r="B23" s="7"/>
      <c r="C23" s="7"/>
      <c r="D23" s="7" t="s">
        <v>213</v>
      </c>
      <c r="E23" s="7"/>
      <c r="F23" s="50">
        <f>+'Total Gasto'!B14</f>
        <v>22179.14</v>
      </c>
      <c r="G23" s="51"/>
      <c r="H23" s="50"/>
      <c r="K23" s="27"/>
    </row>
    <row r="24" spans="1:14">
      <c r="A24" s="66" t="s">
        <v>41</v>
      </c>
      <c r="B24" s="7"/>
      <c r="C24" s="7"/>
      <c r="D24" s="7" t="s">
        <v>359</v>
      </c>
      <c r="E24" s="7"/>
      <c r="F24" s="50">
        <f>+'Total Gasto'!B23</f>
        <v>107297</v>
      </c>
      <c r="G24" s="51"/>
      <c r="H24" s="50"/>
      <c r="K24" s="27"/>
      <c r="L24" s="5"/>
      <c r="N24" s="30"/>
    </row>
    <row r="25" spans="1:14">
      <c r="A25" s="66" t="s">
        <v>42</v>
      </c>
      <c r="B25" s="7"/>
      <c r="C25" s="7"/>
      <c r="D25" s="7" t="s">
        <v>360</v>
      </c>
      <c r="E25" s="7"/>
      <c r="F25" s="57">
        <f>+'Total Gasto'!B31</f>
        <v>186921.55</v>
      </c>
      <c r="G25" s="51"/>
      <c r="H25" s="55"/>
      <c r="J25" s="27"/>
      <c r="K25" s="27"/>
      <c r="L25" s="5"/>
      <c r="N25" s="30"/>
    </row>
    <row r="26" spans="1:14">
      <c r="A26" s="66" t="s">
        <v>43</v>
      </c>
      <c r="B26" s="7"/>
      <c r="C26" s="7"/>
      <c r="D26" s="7" t="s">
        <v>17</v>
      </c>
      <c r="E26" s="7"/>
      <c r="F26" s="55">
        <f>+'Total Gasto'!B44</f>
        <v>0</v>
      </c>
      <c r="G26" s="51"/>
      <c r="H26" s="50" t="e">
        <f>SUMIF([11]BC!B:B,[11]ERF!A22,[11]BC!G:G)</f>
        <v>#VALUE!</v>
      </c>
      <c r="K26" s="27"/>
    </row>
    <row r="27" spans="1:14">
      <c r="A27" s="66"/>
      <c r="B27" s="7"/>
      <c r="C27" s="46" t="s">
        <v>20</v>
      </c>
      <c r="D27" s="7"/>
      <c r="E27" s="7"/>
      <c r="F27" s="59">
        <f>SUM(F22:F26)</f>
        <v>1618507.43</v>
      </c>
      <c r="G27" s="56"/>
      <c r="H27" s="59" t="e">
        <f>SUM(H22:H26)</f>
        <v>#VALUE!</v>
      </c>
      <c r="K27" s="27"/>
    </row>
    <row r="28" spans="1:14">
      <c r="A28" s="66"/>
      <c r="B28" s="7"/>
      <c r="C28" s="68"/>
      <c r="D28" s="7"/>
      <c r="E28" s="7"/>
      <c r="F28" s="50">
        <v>0</v>
      </c>
      <c r="G28" s="50"/>
      <c r="H28" s="50"/>
      <c r="K28" s="27"/>
    </row>
    <row r="29" spans="1:14">
      <c r="A29" s="66" t="s">
        <v>44</v>
      </c>
      <c r="B29" s="7"/>
      <c r="C29" s="7"/>
      <c r="D29" s="7" t="s">
        <v>21</v>
      </c>
      <c r="E29" s="7"/>
      <c r="F29" s="50">
        <v>0</v>
      </c>
      <c r="G29" s="51"/>
      <c r="H29" s="50">
        <v>0</v>
      </c>
      <c r="K29" s="27"/>
    </row>
    <row r="30" spans="1:14">
      <c r="A30" s="66"/>
      <c r="B30" s="7"/>
      <c r="C30" s="7"/>
      <c r="D30" s="7"/>
      <c r="E30" s="7"/>
      <c r="F30" s="50"/>
      <c r="G30" s="51"/>
      <c r="H30" s="50"/>
      <c r="K30" s="27"/>
    </row>
    <row r="31" spans="1:14">
      <c r="A31" s="66" t="s">
        <v>45</v>
      </c>
      <c r="B31" s="7"/>
      <c r="C31" s="7"/>
      <c r="D31" s="7" t="s">
        <v>18</v>
      </c>
      <c r="E31" s="7"/>
      <c r="F31" s="57">
        <v>0</v>
      </c>
      <c r="G31" s="51"/>
      <c r="H31" s="57">
        <v>0</v>
      </c>
      <c r="K31" s="27"/>
    </row>
    <row r="32" spans="1:14">
      <c r="A32" s="66"/>
      <c r="B32" s="7"/>
      <c r="C32" s="7"/>
      <c r="D32" s="7"/>
      <c r="E32" s="7"/>
      <c r="F32" s="57"/>
      <c r="G32" s="51"/>
      <c r="H32" s="57"/>
    </row>
    <row r="33" spans="1:11" ht="15.75" thickBot="1">
      <c r="A33" s="66"/>
      <c r="B33" s="7"/>
      <c r="C33" s="46" t="s">
        <v>48</v>
      </c>
      <c r="D33" s="7"/>
      <c r="E33" s="7"/>
      <c r="F33" s="62">
        <f>+F19-F27+F29+F31</f>
        <v>-928632.69</v>
      </c>
      <c r="G33" s="56"/>
      <c r="H33" s="62" t="e">
        <f>+H19-H27+H29+H31</f>
        <v>#VALUE!</v>
      </c>
      <c r="K33" s="27"/>
    </row>
    <row r="34" spans="1:11" ht="15.75" thickTop="1">
      <c r="A34" s="66"/>
      <c r="B34" s="7"/>
      <c r="C34" s="46"/>
      <c r="D34" s="7"/>
      <c r="E34" s="7"/>
      <c r="F34" s="50"/>
      <c r="G34" s="50"/>
      <c r="H34" s="50"/>
    </row>
    <row r="35" spans="1:11">
      <c r="A35" s="66"/>
      <c r="B35" s="7"/>
      <c r="C35" s="7"/>
      <c r="D35" s="46"/>
      <c r="E35" s="46"/>
      <c r="F35" s="7"/>
      <c r="G35" s="7"/>
      <c r="H35" s="7"/>
    </row>
    <row r="36" spans="1:11">
      <c r="A36" s="66"/>
      <c r="B36" s="7"/>
      <c r="C36" s="7"/>
      <c r="D36" s="8" t="s">
        <v>352</v>
      </c>
      <c r="E36" s="7"/>
      <c r="F36" s="7"/>
      <c r="G36" s="7"/>
      <c r="H36" s="7"/>
    </row>
    <row r="37" spans="1:11">
      <c r="A37" s="66"/>
      <c r="B37" s="7"/>
      <c r="C37" s="7"/>
      <c r="D37" s="7"/>
      <c r="E37" s="7"/>
      <c r="F37" s="50"/>
      <c r="G37" s="50"/>
      <c r="H37" s="50"/>
    </row>
  </sheetData>
  <mergeCells count="4">
    <mergeCell ref="C4:H4"/>
    <mergeCell ref="C5:H5"/>
    <mergeCell ref="C6:H6"/>
    <mergeCell ref="B7:I7"/>
  </mergeCells>
  <pageMargins left="0.7" right="0.7" top="0.75" bottom="0.75" header="0.3" footer="0.3"/>
  <pageSetup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30"/>
  <sheetViews>
    <sheetView topLeftCell="B1" zoomScale="86" zoomScaleNormal="86" zoomScaleSheetLayoutView="86" workbookViewId="0">
      <selection activeCell="D8" sqref="D8"/>
    </sheetView>
  </sheetViews>
  <sheetFormatPr baseColWidth="10" defaultColWidth="11.42578125" defaultRowHeight="15.75"/>
  <cols>
    <col min="1" max="1" width="22.28515625" style="37" hidden="1" customWidth="1"/>
    <col min="2" max="2" width="79.5703125" style="37" customWidth="1"/>
    <col min="3" max="3" width="19.7109375" style="37" customWidth="1"/>
    <col min="4" max="16384" width="11.42578125" style="37"/>
  </cols>
  <sheetData>
    <row r="5" spans="1:4">
      <c r="B5" s="200"/>
      <c r="C5" s="200"/>
      <c r="D5" s="102"/>
    </row>
    <row r="6" spans="1:4">
      <c r="B6" s="200" t="s">
        <v>237</v>
      </c>
      <c r="C6" s="200"/>
      <c r="D6" s="102"/>
    </row>
    <row r="7" spans="1:4">
      <c r="B7" s="204" t="s">
        <v>374</v>
      </c>
      <c r="C7" s="204"/>
      <c r="D7" s="103"/>
    </row>
    <row r="8" spans="1:4">
      <c r="B8" s="200" t="s">
        <v>0</v>
      </c>
      <c r="C8" s="200"/>
      <c r="D8" s="102"/>
    </row>
    <row r="9" spans="1:4">
      <c r="C9" s="104"/>
    </row>
    <row r="10" spans="1:4">
      <c r="C10" s="104"/>
    </row>
    <row r="11" spans="1:4" ht="15" customHeight="1">
      <c r="A11" s="201" t="s">
        <v>218</v>
      </c>
      <c r="B11" s="201" t="s">
        <v>52</v>
      </c>
      <c r="C11" s="201" t="s">
        <v>196</v>
      </c>
    </row>
    <row r="12" spans="1:4" ht="15" customHeight="1">
      <c r="A12" s="202"/>
      <c r="B12" s="202"/>
      <c r="C12" s="202"/>
    </row>
    <row r="13" spans="1:4" ht="15" customHeight="1">
      <c r="A13" s="203"/>
      <c r="B13" s="202"/>
      <c r="C13" s="203"/>
    </row>
    <row r="14" spans="1:4" s="106" customFormat="1">
      <c r="A14" s="38"/>
      <c r="B14" s="97" t="s">
        <v>264</v>
      </c>
      <c r="C14" s="105">
        <v>169687</v>
      </c>
    </row>
    <row r="15" spans="1:4">
      <c r="A15" s="39"/>
      <c r="B15" s="98" t="s">
        <v>53</v>
      </c>
      <c r="C15" s="99">
        <v>22179.14</v>
      </c>
    </row>
    <row r="16" spans="1:4">
      <c r="A16" s="39"/>
      <c r="B16" s="98" t="s">
        <v>180</v>
      </c>
      <c r="C16" s="100">
        <v>0</v>
      </c>
    </row>
    <row r="17" spans="1:3">
      <c r="A17" s="39"/>
      <c r="B17" s="98" t="s">
        <v>345</v>
      </c>
      <c r="C17" s="100">
        <v>5000</v>
      </c>
    </row>
    <row r="18" spans="1:3">
      <c r="A18" s="39"/>
      <c r="B18" s="98" t="s">
        <v>346</v>
      </c>
      <c r="C18" s="100">
        <v>0</v>
      </c>
    </row>
    <row r="19" spans="1:3">
      <c r="A19" s="39"/>
      <c r="B19" s="98" t="s">
        <v>280</v>
      </c>
      <c r="C19" s="100">
        <v>410477.74</v>
      </c>
    </row>
    <row r="20" spans="1:3">
      <c r="A20" s="39"/>
      <c r="B20" s="98" t="s">
        <v>347</v>
      </c>
      <c r="C20" s="100">
        <v>24710</v>
      </c>
    </row>
    <row r="21" spans="1:3">
      <c r="A21" s="39"/>
      <c r="B21" s="98" t="s">
        <v>348</v>
      </c>
      <c r="C21" s="100">
        <v>50000</v>
      </c>
    </row>
    <row r="22" spans="1:3">
      <c r="A22" s="39"/>
      <c r="B22" s="98" t="s">
        <v>63</v>
      </c>
      <c r="C22" s="100"/>
    </row>
    <row r="23" spans="1:3">
      <c r="A23" s="39"/>
      <c r="B23" s="38" t="s">
        <v>219</v>
      </c>
      <c r="C23" s="101">
        <f>SUM(C14:C22)</f>
        <v>682053.88</v>
      </c>
    </row>
    <row r="24" spans="1:3">
      <c r="B24" s="107"/>
      <c r="C24" s="108"/>
    </row>
    <row r="25" spans="1:3">
      <c r="B25" s="109"/>
      <c r="C25" s="108"/>
    </row>
    <row r="26" spans="1:3">
      <c r="B26" s="106" t="s">
        <v>361</v>
      </c>
    </row>
    <row r="27" spans="1:3">
      <c r="B27" s="37" t="s">
        <v>362</v>
      </c>
    </row>
    <row r="28" spans="1:3">
      <c r="B28" s="37" t="s">
        <v>363</v>
      </c>
    </row>
    <row r="29" spans="1:3">
      <c r="B29" s="37" t="s">
        <v>364</v>
      </c>
    </row>
    <row r="30" spans="1:3">
      <c r="B30" s="37" t="s">
        <v>365</v>
      </c>
    </row>
  </sheetData>
  <mergeCells count="7">
    <mergeCell ref="B5:C5"/>
    <mergeCell ref="C11:C13"/>
    <mergeCell ref="A11:A13"/>
    <mergeCell ref="B11:B13"/>
    <mergeCell ref="B8:C8"/>
    <mergeCell ref="B7:C7"/>
    <mergeCell ref="B6:C6"/>
  </mergeCells>
  <pageMargins left="0.7" right="0.7" top="0.75" bottom="0.75" header="0.3" footer="0.3"/>
  <pageSetup scale="91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23"/>
  <sheetViews>
    <sheetView workbookViewId="0">
      <selection activeCell="D11" sqref="D11"/>
    </sheetView>
  </sheetViews>
  <sheetFormatPr baseColWidth="10" defaultRowHeight="15"/>
  <cols>
    <col min="1" max="1" width="59.85546875" customWidth="1"/>
    <col min="2" max="2" width="21.42578125" customWidth="1"/>
    <col min="4" max="4" width="14.140625" bestFit="1" customWidth="1"/>
  </cols>
  <sheetData>
    <row r="6" spans="1:4" ht="18.75">
      <c r="A6" s="205"/>
      <c r="B6" s="205"/>
    </row>
    <row r="7" spans="1:4" ht="18.75">
      <c r="A7" s="205" t="s">
        <v>228</v>
      </c>
      <c r="B7" s="205"/>
    </row>
    <row r="8" spans="1:4" ht="18.75">
      <c r="A8" s="206" t="str">
        <f>+Efectivo!B7</f>
        <v>Del ejercicio terminado Al 28 de Febrero 2023</v>
      </c>
      <c r="B8" s="206"/>
    </row>
    <row r="9" spans="1:4" ht="18.75">
      <c r="A9" s="205" t="s">
        <v>0</v>
      </c>
      <c r="B9" s="205"/>
    </row>
    <row r="10" spans="1:4" ht="15.75">
      <c r="A10" s="14"/>
    </row>
    <row r="12" spans="1:4" ht="15" customHeight="1">
      <c r="A12" s="72" t="s">
        <v>60</v>
      </c>
      <c r="B12" s="36" t="s">
        <v>196</v>
      </c>
    </row>
    <row r="13" spans="1:4">
      <c r="A13" s="20" t="s">
        <v>184</v>
      </c>
      <c r="B13" s="55">
        <f>11787160+180540</f>
        <v>11967700</v>
      </c>
      <c r="D13" s="76" t="s">
        <v>7</v>
      </c>
    </row>
    <row r="14" spans="1:4">
      <c r="A14" s="31" t="s">
        <v>183</v>
      </c>
      <c r="B14" s="78">
        <f>3159+131898+5372</f>
        <v>140429</v>
      </c>
      <c r="D14" s="76" t="s">
        <v>7</v>
      </c>
    </row>
    <row r="15" spans="1:4">
      <c r="A15" s="31" t="s">
        <v>349</v>
      </c>
      <c r="B15" s="78">
        <f>233+39</f>
        <v>272</v>
      </c>
      <c r="D15" s="76"/>
    </row>
    <row r="16" spans="1:4">
      <c r="A16" s="31" t="s">
        <v>182</v>
      </c>
      <c r="B16" s="78">
        <f>3069+3676+832064</f>
        <v>838809</v>
      </c>
      <c r="D16" s="76" t="s">
        <v>7</v>
      </c>
    </row>
    <row r="17" spans="1:4">
      <c r="A17" s="31" t="s">
        <v>281</v>
      </c>
      <c r="B17" s="78">
        <v>1250428.1000000001</v>
      </c>
      <c r="D17" s="76"/>
    </row>
    <row r="18" spans="1:4">
      <c r="A18" s="13" t="s">
        <v>61</v>
      </c>
      <c r="B18" s="77">
        <f>SUM(B13:B17)</f>
        <v>14197638.1</v>
      </c>
    </row>
    <row r="23" spans="1:4">
      <c r="A23" s="8" t="s">
        <v>350</v>
      </c>
    </row>
  </sheetData>
  <mergeCells count="4">
    <mergeCell ref="A6:B6"/>
    <mergeCell ref="A8:B8"/>
    <mergeCell ref="A9:B9"/>
    <mergeCell ref="A7:B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4:B31"/>
  <sheetViews>
    <sheetView zoomScaleNormal="100" zoomScaleSheetLayoutView="130" workbookViewId="0">
      <selection activeCell="C15" sqref="C15"/>
    </sheetView>
  </sheetViews>
  <sheetFormatPr baseColWidth="10" defaultColWidth="11.42578125" defaultRowHeight="15"/>
  <cols>
    <col min="1" max="1" width="54.7109375" style="96" customWidth="1"/>
    <col min="2" max="2" width="14.5703125" style="162" customWidth="1"/>
    <col min="3" max="16384" width="11.42578125" style="96"/>
  </cols>
  <sheetData>
    <row r="4" spans="1:2">
      <c r="A4" s="207"/>
      <c r="B4" s="207"/>
    </row>
    <row r="5" spans="1:2">
      <c r="A5" s="207" t="s">
        <v>358</v>
      </c>
      <c r="B5" s="207"/>
    </row>
    <row r="6" spans="1:2">
      <c r="A6" s="208" t="s">
        <v>378</v>
      </c>
      <c r="B6" s="208"/>
    </row>
    <row r="7" spans="1:2">
      <c r="A7" s="207" t="s">
        <v>0</v>
      </c>
      <c r="B7" s="207"/>
    </row>
    <row r="9" spans="1:2">
      <c r="A9" s="157"/>
    </row>
    <row r="11" spans="1:2" ht="15" customHeight="1">
      <c r="A11" s="209" t="s">
        <v>56</v>
      </c>
      <c r="B11" s="212" t="s">
        <v>196</v>
      </c>
    </row>
    <row r="12" spans="1:2" ht="15" customHeight="1">
      <c r="A12" s="210"/>
      <c r="B12" s="213"/>
    </row>
    <row r="13" spans="1:2" ht="15.75" customHeight="1">
      <c r="A13" s="211"/>
      <c r="B13" s="214"/>
    </row>
    <row r="14" spans="1:2" s="157" customFormat="1">
      <c r="A14" s="158" t="s">
        <v>238</v>
      </c>
      <c r="B14" s="163">
        <v>0</v>
      </c>
    </row>
    <row r="15" spans="1:2" s="157" customFormat="1">
      <c r="A15" s="159" t="s">
        <v>57</v>
      </c>
      <c r="B15" s="164">
        <v>0</v>
      </c>
    </row>
    <row r="16" spans="1:2" s="157" customFormat="1">
      <c r="A16" s="159" t="s">
        <v>351</v>
      </c>
      <c r="B16" s="164">
        <v>7919609.4000000004</v>
      </c>
    </row>
    <row r="17" spans="1:2" s="157" customFormat="1">
      <c r="A17" s="159" t="s">
        <v>59</v>
      </c>
      <c r="B17" s="165">
        <v>0</v>
      </c>
    </row>
    <row r="18" spans="1:2" s="157" customFormat="1">
      <c r="A18" s="159" t="s">
        <v>181</v>
      </c>
      <c r="B18" s="165">
        <v>0</v>
      </c>
    </row>
    <row r="19" spans="1:2">
      <c r="A19" s="160" t="s">
        <v>58</v>
      </c>
      <c r="B19" s="166">
        <f>B14+B15+B16+B17+B18</f>
        <v>7919609.4000000004</v>
      </c>
    </row>
    <row r="20" spans="1:2">
      <c r="A20" s="161"/>
      <c r="B20" s="167"/>
    </row>
    <row r="21" spans="1:2">
      <c r="A21" s="161"/>
      <c r="B21" s="167"/>
    </row>
    <row r="22" spans="1:2">
      <c r="A22" s="193" t="s">
        <v>361</v>
      </c>
      <c r="B22" s="167"/>
    </row>
    <row r="23" spans="1:2">
      <c r="A23" s="194" t="s">
        <v>366</v>
      </c>
      <c r="B23" s="167"/>
    </row>
    <row r="24" spans="1:2">
      <c r="A24" s="161"/>
      <c r="B24" s="167"/>
    </row>
    <row r="25" spans="1:2">
      <c r="A25" s="161"/>
      <c r="B25" s="167"/>
    </row>
    <row r="26" spans="1:2">
      <c r="A26" s="161"/>
      <c r="B26" s="167"/>
    </row>
    <row r="27" spans="1:2">
      <c r="A27" s="161"/>
      <c r="B27" s="167"/>
    </row>
    <row r="28" spans="1:2">
      <c r="A28" s="161"/>
      <c r="B28" s="167"/>
    </row>
    <row r="29" spans="1:2">
      <c r="A29" s="161" t="s">
        <v>352</v>
      </c>
      <c r="B29" s="167"/>
    </row>
    <row r="30" spans="1:2">
      <c r="A30" s="161"/>
      <c r="B30" s="167"/>
    </row>
    <row r="31" spans="1:2">
      <c r="A31" s="161"/>
      <c r="B31" s="167"/>
    </row>
  </sheetData>
  <mergeCells count="6">
    <mergeCell ref="A4:B4"/>
    <mergeCell ref="A5:B5"/>
    <mergeCell ref="A6:B6"/>
    <mergeCell ref="A7:B7"/>
    <mergeCell ref="A11:A13"/>
    <mergeCell ref="B11:B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4:B29"/>
  <sheetViews>
    <sheetView zoomScaleNormal="100" zoomScaleSheetLayoutView="130" workbookViewId="0">
      <selection activeCell="E13" sqref="E13"/>
    </sheetView>
  </sheetViews>
  <sheetFormatPr baseColWidth="10" defaultColWidth="11.42578125" defaultRowHeight="15"/>
  <cols>
    <col min="1" max="1" width="54.7109375" style="96" customWidth="1"/>
    <col min="2" max="2" width="14.5703125" style="162" customWidth="1"/>
    <col min="3" max="16384" width="11.42578125" style="96"/>
  </cols>
  <sheetData>
    <row r="4" spans="1:2">
      <c r="A4" s="207"/>
      <c r="B4" s="207"/>
    </row>
    <row r="5" spans="1:2">
      <c r="A5" s="207" t="s">
        <v>222</v>
      </c>
      <c r="B5" s="207"/>
    </row>
    <row r="6" spans="1:2">
      <c r="A6" s="208" t="str">
        <f>+Efectivo!B7</f>
        <v>Del ejercicio terminado Al 28 de Febrero 2023</v>
      </c>
      <c r="B6" s="208"/>
    </row>
    <row r="7" spans="1:2">
      <c r="A7" s="207" t="s">
        <v>0</v>
      </c>
      <c r="B7" s="207"/>
    </row>
    <row r="9" spans="1:2">
      <c r="A9" s="157"/>
    </row>
    <row r="11" spans="1:2" ht="15" customHeight="1">
      <c r="A11" s="209" t="s">
        <v>56</v>
      </c>
      <c r="B11" s="212" t="s">
        <v>196</v>
      </c>
    </row>
    <row r="12" spans="1:2" ht="15" customHeight="1">
      <c r="A12" s="210"/>
      <c r="B12" s="213"/>
    </row>
    <row r="13" spans="1:2" ht="15.75" customHeight="1">
      <c r="A13" s="211"/>
      <c r="B13" s="214"/>
    </row>
    <row r="14" spans="1:2" s="157" customFormat="1">
      <c r="A14" s="158" t="s">
        <v>238</v>
      </c>
      <c r="B14" s="163">
        <v>0</v>
      </c>
    </row>
    <row r="15" spans="1:2" s="157" customFormat="1">
      <c r="A15" s="159" t="s">
        <v>57</v>
      </c>
      <c r="B15" s="164">
        <v>0</v>
      </c>
    </row>
    <row r="16" spans="1:2" s="157" customFormat="1">
      <c r="A16" s="159" t="s">
        <v>351</v>
      </c>
      <c r="B16" s="164">
        <v>0</v>
      </c>
    </row>
    <row r="17" spans="1:2" s="157" customFormat="1">
      <c r="A17" s="159" t="s">
        <v>59</v>
      </c>
      <c r="B17" s="165">
        <v>1032091.65</v>
      </c>
    </row>
    <row r="18" spans="1:2" s="157" customFormat="1">
      <c r="A18" s="159" t="s">
        <v>181</v>
      </c>
      <c r="B18" s="165">
        <v>0</v>
      </c>
    </row>
    <row r="19" spans="1:2">
      <c r="A19" s="160" t="s">
        <v>58</v>
      </c>
      <c r="B19" s="166">
        <f>B14+B15+B16+B17+B18</f>
        <v>1032091.65</v>
      </c>
    </row>
    <row r="20" spans="1:2">
      <c r="A20" s="161"/>
      <c r="B20" s="167"/>
    </row>
    <row r="21" spans="1:2">
      <c r="A21" s="194" t="s">
        <v>361</v>
      </c>
      <c r="B21" s="167"/>
    </row>
    <row r="22" spans="1:2">
      <c r="A22" s="194" t="s">
        <v>367</v>
      </c>
      <c r="B22" s="167"/>
    </row>
    <row r="23" spans="1:2">
      <c r="A23" s="161"/>
      <c r="B23" s="167"/>
    </row>
    <row r="24" spans="1:2">
      <c r="A24" s="161"/>
      <c r="B24" s="167"/>
    </row>
    <row r="25" spans="1:2">
      <c r="A25" s="161"/>
      <c r="B25" s="167"/>
    </row>
    <row r="26" spans="1:2">
      <c r="A26" s="161"/>
      <c r="B26" s="167"/>
    </row>
    <row r="27" spans="1:2">
      <c r="A27" s="161" t="s">
        <v>352</v>
      </c>
      <c r="B27" s="167"/>
    </row>
    <row r="28" spans="1:2">
      <c r="A28" s="161"/>
      <c r="B28" s="167"/>
    </row>
    <row r="29" spans="1:2">
      <c r="A29" s="161"/>
      <c r="B29" s="167"/>
    </row>
  </sheetData>
  <mergeCells count="6">
    <mergeCell ref="B11:B13"/>
    <mergeCell ref="A4:B4"/>
    <mergeCell ref="A5:B5"/>
    <mergeCell ref="A6:B6"/>
    <mergeCell ref="A7:B7"/>
    <mergeCell ref="A11:A1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5"/>
  <sheetViews>
    <sheetView workbookViewId="0">
      <selection activeCell="B12" sqref="B12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4" spans="1:2" ht="18.75">
      <c r="A4" s="205"/>
      <c r="B4" s="205"/>
    </row>
    <row r="5" spans="1:2" ht="18.75">
      <c r="A5" s="205" t="s">
        <v>242</v>
      </c>
      <c r="B5" s="205"/>
    </row>
    <row r="6" spans="1:2" ht="18.75">
      <c r="A6" s="206" t="str">
        <f>+Efectivo!B7</f>
        <v>Del ejercicio terminado Al 28 de Febrero 2023</v>
      </c>
      <c r="B6" s="206"/>
    </row>
    <row r="7" spans="1:2" ht="18.75">
      <c r="A7" s="205" t="s">
        <v>0</v>
      </c>
      <c r="B7" s="205"/>
    </row>
    <row r="8" spans="1:2" ht="18.75">
      <c r="A8" s="22"/>
      <c r="B8" s="22"/>
    </row>
    <row r="9" spans="1:2" ht="15.75">
      <c r="B9" s="16"/>
    </row>
    <row r="10" spans="1:2" ht="15.75">
      <c r="B10" s="16"/>
    </row>
    <row r="11" spans="1:2" ht="15" customHeight="1">
      <c r="A11" s="70" t="s">
        <v>56</v>
      </c>
      <c r="B11" s="36" t="s">
        <v>196</v>
      </c>
    </row>
    <row r="12" spans="1:2" ht="15.75">
      <c r="A12" s="24" t="s">
        <v>226</v>
      </c>
      <c r="B12" s="196">
        <v>0</v>
      </c>
    </row>
    <row r="13" spans="1:2" ht="15" customHeight="1">
      <c r="A13" s="17" t="s">
        <v>241</v>
      </c>
      <c r="B13" s="74">
        <f>+B12</f>
        <v>0</v>
      </c>
    </row>
    <row r="17" spans="1:3" ht="25.15" customHeight="1"/>
    <row r="21" spans="1:3" ht="15" customHeight="1">
      <c r="C21" s="12"/>
    </row>
    <row r="23" spans="1:3">
      <c r="A23" s="8" t="s">
        <v>352</v>
      </c>
    </row>
    <row r="25" spans="1:3">
      <c r="A25" t="s">
        <v>7</v>
      </c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4:B26"/>
  <sheetViews>
    <sheetView workbookViewId="0">
      <selection activeCell="F17" sqref="F17"/>
    </sheetView>
  </sheetViews>
  <sheetFormatPr baseColWidth="10" defaultRowHeight="15"/>
  <cols>
    <col min="1" max="1" width="48" customWidth="1"/>
    <col min="2" max="2" width="17" style="21" bestFit="1" customWidth="1"/>
  </cols>
  <sheetData>
    <row r="4" spans="1:2" ht="18.75">
      <c r="A4" s="205"/>
      <c r="B4" s="205"/>
    </row>
    <row r="5" spans="1:2" ht="18.75">
      <c r="A5" s="205" t="s">
        <v>229</v>
      </c>
      <c r="B5" s="205"/>
    </row>
    <row r="6" spans="1:2" ht="18.75">
      <c r="A6" s="206" t="str">
        <f>+Efectivo!B7</f>
        <v>Del ejercicio terminado Al 28 de Febrero 2023</v>
      </c>
      <c r="B6" s="206"/>
    </row>
    <row r="7" spans="1:2" ht="18.75">
      <c r="A7" s="205" t="s">
        <v>0</v>
      </c>
      <c r="B7" s="205"/>
    </row>
    <row r="8" spans="1:2" ht="15.75">
      <c r="B8" s="91"/>
    </row>
    <row r="9" spans="1:2" ht="15.75">
      <c r="B9" s="91"/>
    </row>
    <row r="10" spans="1:2" ht="15.75">
      <c r="B10" s="91"/>
    </row>
    <row r="11" spans="1:2" ht="15" customHeight="1">
      <c r="A11" s="70" t="s">
        <v>56</v>
      </c>
      <c r="B11" s="82" t="s">
        <v>196</v>
      </c>
    </row>
    <row r="12" spans="1:2" ht="15.75">
      <c r="A12" s="10" t="s">
        <v>186</v>
      </c>
      <c r="B12" s="92">
        <v>0</v>
      </c>
    </row>
    <row r="13" spans="1:2" ht="15.75">
      <c r="A13" s="26" t="s">
        <v>187</v>
      </c>
      <c r="B13" s="93">
        <v>6238.86</v>
      </c>
    </row>
    <row r="14" spans="1:2" ht="15.75">
      <c r="A14" s="10" t="s">
        <v>185</v>
      </c>
      <c r="B14" s="94">
        <v>14561.32</v>
      </c>
    </row>
    <row r="15" spans="1:2" ht="15.75">
      <c r="A15" s="10" t="s">
        <v>188</v>
      </c>
      <c r="B15" s="94">
        <v>0</v>
      </c>
    </row>
    <row r="16" spans="1:2" ht="15.75">
      <c r="A16" s="71" t="s">
        <v>243</v>
      </c>
      <c r="B16" s="95">
        <f>SUM(B12:B15)</f>
        <v>20800.18</v>
      </c>
    </row>
    <row r="19" spans="1:1">
      <c r="A19" t="s">
        <v>361</v>
      </c>
    </row>
    <row r="20" spans="1:1">
      <c r="A20" t="s">
        <v>369</v>
      </c>
    </row>
    <row r="21" spans="1:1">
      <c r="A21" t="s">
        <v>370</v>
      </c>
    </row>
    <row r="26" spans="1:1">
      <c r="A26" s="8" t="s">
        <v>352</v>
      </c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</vt:i4>
      </vt:variant>
    </vt:vector>
  </HeadingPairs>
  <TitlesOfParts>
    <vt:vector size="18" baseType="lpstr">
      <vt:lpstr>Bal Comprobacion Abril</vt:lpstr>
      <vt:lpstr>ESF.SNS</vt:lpstr>
      <vt:lpstr>ERF SRS</vt:lpstr>
      <vt:lpstr>Efectivo</vt:lpstr>
      <vt:lpstr>Inventario</vt:lpstr>
      <vt:lpstr>Cuenta por Cobrar a largo plazo</vt:lpstr>
      <vt:lpstr>Cuenta por Cobrar</vt:lpstr>
      <vt:lpstr>CXP Corto plazo</vt:lpstr>
      <vt:lpstr>Retenciones y Acum.</vt:lpstr>
      <vt:lpstr>CXP Largo Plazo</vt:lpstr>
      <vt:lpstr>Ingresos</vt:lpstr>
      <vt:lpstr>Benef. Empl x p Corto Plazo</vt:lpstr>
      <vt:lpstr>Total Gasto</vt:lpstr>
      <vt:lpstr>Benef. Empl x pagar Larg. Plaz</vt:lpstr>
      <vt:lpstr>Hoja1</vt:lpstr>
      <vt:lpstr>'Bal Comprobacion Abril'!Área_de_impresión</vt:lpstr>
      <vt:lpstr>ESF.SNS!Área_de_impresión</vt:lpstr>
      <vt:lpstr>ESF.SNS!Títulos_a_imprimir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Usuario de Windows</cp:lastModifiedBy>
  <cp:lastPrinted>2023-03-06T15:17:00Z</cp:lastPrinted>
  <dcterms:created xsi:type="dcterms:W3CDTF">2018-05-02T13:48:18Z</dcterms:created>
  <dcterms:modified xsi:type="dcterms:W3CDTF">2023-03-16T17:18:42Z</dcterms:modified>
</cp:coreProperties>
</file>